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240" yWindow="345" windowWidth="14805" windowHeight="7770" tabRatio="699" activeTab="1"/>
  </bookViews>
  <sheets>
    <sheet name="Legend" sheetId="13" r:id="rId1"/>
    <sheet name="Database" sheetId="10" r:id="rId2"/>
  </sheets>
  <definedNames>
    <definedName name="_xlnm._FilterDatabase" localSheetId="1" hidden="1">Database!$A$2:$AN$2</definedName>
  </definedNames>
  <calcPr calcId="152511"/>
</workbook>
</file>

<file path=xl/calcChain.xml><?xml version="1.0" encoding="utf-8"?>
<calcChain xmlns="http://schemas.openxmlformats.org/spreadsheetml/2006/main">
  <c r="V981" i="10"/>
  <c r="J982"/>
  <c r="H999" l="1"/>
  <c r="J1177"/>
  <c r="H1177"/>
  <c r="O1177"/>
  <c r="O1176"/>
  <c r="M1177"/>
  <c r="K1176"/>
  <c r="K1177"/>
  <c r="M1176"/>
  <c r="J1176"/>
  <c r="H1175"/>
  <c r="H1176"/>
  <c r="O1175"/>
  <c r="Y1117" l="1"/>
  <c r="O1117"/>
  <c r="M1117"/>
  <c r="K1117"/>
  <c r="J1117"/>
  <c r="J1116"/>
  <c r="H1117"/>
  <c r="H1116"/>
  <c r="V1116"/>
  <c r="O1116"/>
  <c r="M1116"/>
  <c r="K1116"/>
  <c r="N982"/>
  <c r="N981"/>
  <c r="J981"/>
  <c r="AM442"/>
  <c r="V1312" l="1"/>
  <c r="O1312"/>
  <c r="M1312"/>
  <c r="L1312"/>
  <c r="K1312"/>
  <c r="J1312"/>
  <c r="V1311"/>
  <c r="O1311"/>
  <c r="M1311"/>
  <c r="L1311"/>
  <c r="K1311"/>
  <c r="J1311"/>
  <c r="V1310"/>
  <c r="O1310"/>
  <c r="M1310"/>
  <c r="L1310"/>
  <c r="K1310"/>
  <c r="J1310"/>
  <c r="V1309"/>
  <c r="O1309"/>
  <c r="M1309"/>
  <c r="L1309"/>
  <c r="K1309"/>
  <c r="J1309"/>
  <c r="V1308"/>
  <c r="O1308"/>
  <c r="M1308"/>
  <c r="L1308"/>
  <c r="K1308"/>
  <c r="J1308"/>
  <c r="V1307"/>
  <c r="O1307"/>
  <c r="M1307"/>
  <c r="L1307"/>
  <c r="K1307"/>
  <c r="J1307"/>
  <c r="V1306"/>
  <c r="O1306"/>
  <c r="M1306"/>
  <c r="L1306"/>
  <c r="K1306"/>
  <c r="J1306"/>
  <c r="V1305"/>
  <c r="O1305"/>
  <c r="M1305"/>
  <c r="L1305"/>
  <c r="K1305"/>
  <c r="J1305"/>
  <c r="V1304"/>
  <c r="O1304"/>
  <c r="M1304"/>
  <c r="L1304"/>
  <c r="K1304"/>
  <c r="J1304"/>
  <c r="V1303"/>
  <c r="O1303"/>
  <c r="M1303"/>
  <c r="L1303"/>
  <c r="K1303"/>
  <c r="J1303"/>
  <c r="V1302"/>
  <c r="O1302"/>
  <c r="M1302"/>
  <c r="L1302"/>
  <c r="K1302"/>
  <c r="J1302"/>
  <c r="V1301"/>
  <c r="O1301"/>
  <c r="M1301"/>
  <c r="L1301"/>
  <c r="K1301"/>
  <c r="J1301"/>
  <c r="V1300"/>
  <c r="O1300"/>
  <c r="M1300"/>
  <c r="L1300"/>
  <c r="K1300"/>
  <c r="J1300"/>
  <c r="V1299"/>
  <c r="O1299"/>
  <c r="M1299"/>
  <c r="L1299"/>
  <c r="K1299"/>
  <c r="J1299"/>
  <c r="V1298"/>
  <c r="O1298"/>
  <c r="M1298"/>
  <c r="L1298"/>
  <c r="K1298"/>
  <c r="J1298"/>
  <c r="V1297"/>
  <c r="O1297"/>
  <c r="M1297"/>
  <c r="L1297"/>
  <c r="K1297"/>
  <c r="J1297"/>
  <c r="V1296"/>
  <c r="O1296"/>
  <c r="M1296"/>
  <c r="L1296"/>
  <c r="K1296"/>
  <c r="J1296"/>
  <c r="V1295"/>
  <c r="O1295"/>
  <c r="M1295"/>
  <c r="L1295"/>
  <c r="K1295"/>
  <c r="J1295"/>
  <c r="V1294"/>
  <c r="O1294"/>
  <c r="M1294"/>
  <c r="L1294"/>
  <c r="K1294"/>
  <c r="J1294"/>
  <c r="V1293"/>
  <c r="O1293"/>
  <c r="M1293"/>
  <c r="L1293"/>
  <c r="K1293"/>
  <c r="J1293"/>
  <c r="V1292"/>
  <c r="O1292"/>
  <c r="M1292"/>
  <c r="L1292"/>
  <c r="K1292"/>
  <c r="J1292"/>
  <c r="V1291"/>
  <c r="O1291"/>
  <c r="M1291"/>
  <c r="L1291"/>
  <c r="K1291"/>
  <c r="J1291"/>
  <c r="V1290"/>
  <c r="O1290"/>
  <c r="M1290"/>
  <c r="L1290"/>
  <c r="K1290"/>
  <c r="J1290"/>
  <c r="V1289"/>
  <c r="O1289"/>
  <c r="M1289"/>
  <c r="L1289"/>
  <c r="K1289"/>
  <c r="J1289"/>
  <c r="V1288"/>
  <c r="O1288"/>
  <c r="M1288"/>
  <c r="L1288"/>
  <c r="K1288"/>
  <c r="J1288"/>
  <c r="V1287"/>
  <c r="O1287"/>
  <c r="M1287"/>
  <c r="L1287"/>
  <c r="K1287"/>
  <c r="J1287"/>
  <c r="V1286"/>
  <c r="O1286"/>
  <c r="M1286"/>
  <c r="L1286"/>
  <c r="K1286"/>
  <c r="J1286"/>
  <c r="V1285"/>
  <c r="O1285"/>
  <c r="M1285"/>
  <c r="L1285"/>
  <c r="K1285"/>
  <c r="J1285"/>
  <c r="V1284"/>
  <c r="O1284"/>
  <c r="M1284"/>
  <c r="L1284"/>
  <c r="K1284"/>
  <c r="J1284"/>
  <c r="V1283"/>
  <c r="O1283"/>
  <c r="M1283"/>
  <c r="L1283"/>
  <c r="K1283"/>
  <c r="J1283"/>
  <c r="V1282"/>
  <c r="O1282"/>
  <c r="M1282"/>
  <c r="L1282"/>
  <c r="K1282"/>
  <c r="J1282"/>
  <c r="V1281"/>
  <c r="O1281"/>
  <c r="M1281"/>
  <c r="L1281"/>
  <c r="K1281"/>
  <c r="J1281"/>
  <c r="V1280"/>
  <c r="O1280"/>
  <c r="M1280"/>
  <c r="L1280"/>
  <c r="K1280"/>
  <c r="J1280"/>
  <c r="V1279"/>
  <c r="O1279"/>
  <c r="M1279"/>
  <c r="L1279"/>
  <c r="K1279"/>
  <c r="J1279"/>
  <c r="V1278"/>
  <c r="O1278"/>
  <c r="M1278"/>
  <c r="L1278"/>
  <c r="K1278"/>
  <c r="J1278"/>
  <c r="V1277"/>
  <c r="O1277"/>
  <c r="M1277"/>
  <c r="L1277"/>
  <c r="K1277"/>
  <c r="J1277"/>
  <c r="V1276"/>
  <c r="O1276"/>
  <c r="M1276"/>
  <c r="L1276"/>
  <c r="K1276"/>
  <c r="J1276"/>
  <c r="V1275"/>
  <c r="O1275"/>
  <c r="M1275"/>
  <c r="L1275"/>
  <c r="K1275"/>
  <c r="J1275"/>
  <c r="V1274"/>
  <c r="O1274"/>
  <c r="M1274"/>
  <c r="L1274"/>
  <c r="K1274"/>
  <c r="J1274"/>
  <c r="V1273"/>
  <c r="O1273"/>
  <c r="M1273"/>
  <c r="L1273"/>
  <c r="K1273"/>
  <c r="J1273"/>
  <c r="V1272"/>
  <c r="O1272"/>
  <c r="M1272"/>
  <c r="L1272"/>
  <c r="K1272"/>
  <c r="J1272"/>
  <c r="V1271"/>
  <c r="O1271"/>
  <c r="M1271"/>
  <c r="L1271"/>
  <c r="K1271"/>
  <c r="J1271"/>
  <c r="V1270"/>
  <c r="O1270"/>
  <c r="M1270"/>
  <c r="L1270"/>
  <c r="K1270"/>
  <c r="J1270"/>
  <c r="V1269"/>
  <c r="O1269"/>
  <c r="M1269"/>
  <c r="L1269"/>
  <c r="K1269"/>
  <c r="J1269"/>
  <c r="V1268"/>
  <c r="O1268"/>
  <c r="M1268"/>
  <c r="L1268"/>
  <c r="K1268"/>
  <c r="J1268"/>
  <c r="V1267"/>
  <c r="O1267"/>
  <c r="M1267"/>
  <c r="L1267"/>
  <c r="K1267"/>
  <c r="J1267"/>
  <c r="V1266"/>
  <c r="O1266"/>
  <c r="M1266"/>
  <c r="L1266"/>
  <c r="K1266"/>
  <c r="J1266"/>
  <c r="V1265"/>
  <c r="O1265"/>
  <c r="M1265"/>
  <c r="L1265"/>
  <c r="K1265"/>
  <c r="J1265"/>
  <c r="V1264"/>
  <c r="O1264"/>
  <c r="M1264"/>
  <c r="L1264"/>
  <c r="K1264"/>
  <c r="J1264"/>
  <c r="V1263"/>
  <c r="O1263"/>
  <c r="M1263"/>
  <c r="L1263"/>
  <c r="K1263"/>
  <c r="J1263"/>
  <c r="V1262"/>
  <c r="O1262"/>
  <c r="M1262"/>
  <c r="L1262"/>
  <c r="K1262"/>
  <c r="J1262"/>
  <c r="V1261"/>
  <c r="O1261"/>
  <c r="M1261"/>
  <c r="L1261"/>
  <c r="K1261"/>
  <c r="J1261"/>
  <c r="V1260"/>
  <c r="O1260"/>
  <c r="M1260"/>
  <c r="L1260"/>
  <c r="K1260"/>
  <c r="J1260"/>
  <c r="V1259"/>
  <c r="O1259"/>
  <c r="M1259"/>
  <c r="L1259"/>
  <c r="K1259"/>
  <c r="J1259"/>
  <c r="V1258"/>
  <c r="O1258"/>
  <c r="M1258"/>
  <c r="L1258"/>
  <c r="K1258"/>
  <c r="J1258"/>
  <c r="V1257"/>
  <c r="O1257"/>
  <c r="M1257"/>
  <c r="L1257"/>
  <c r="K1257"/>
  <c r="J1257"/>
  <c r="V1256"/>
  <c r="O1256"/>
  <c r="M1256"/>
  <c r="L1256"/>
  <c r="K1256"/>
  <c r="J1256"/>
  <c r="V1255"/>
  <c r="O1255"/>
  <c r="M1255"/>
  <c r="L1255"/>
  <c r="K1255"/>
  <c r="J1255"/>
  <c r="V1254"/>
  <c r="O1254"/>
  <c r="M1254"/>
  <c r="L1254"/>
  <c r="K1254"/>
  <c r="J1254"/>
  <c r="V1253"/>
  <c r="O1253"/>
  <c r="M1253"/>
  <c r="L1253"/>
  <c r="K1253"/>
  <c r="J1253"/>
  <c r="V1252"/>
  <c r="O1252"/>
  <c r="M1252"/>
  <c r="K1252"/>
  <c r="J1252"/>
  <c r="V1251"/>
  <c r="O1251"/>
  <c r="M1251"/>
  <c r="K1251"/>
  <c r="J1251"/>
  <c r="V1250"/>
  <c r="O1250"/>
  <c r="M1250"/>
  <c r="K1250"/>
  <c r="J1250"/>
  <c r="V1249"/>
  <c r="O1249"/>
  <c r="M1249"/>
  <c r="K1249"/>
  <c r="J1249"/>
  <c r="V1248"/>
  <c r="O1248"/>
  <c r="M1248"/>
  <c r="K1248"/>
  <c r="J1248"/>
  <c r="V1247"/>
  <c r="O1247"/>
  <c r="M1247"/>
  <c r="K1247"/>
  <c r="J1247"/>
  <c r="V1246"/>
  <c r="O1246"/>
  <c r="M1246"/>
  <c r="K1246"/>
  <c r="J1246"/>
  <c r="V1245"/>
  <c r="O1245"/>
  <c r="M1245"/>
  <c r="K1245"/>
  <c r="J1245"/>
  <c r="V1244"/>
  <c r="O1244"/>
  <c r="M1244"/>
  <c r="K1244"/>
  <c r="J1244"/>
  <c r="V1243"/>
  <c r="O1243"/>
  <c r="M1243"/>
  <c r="K1243"/>
  <c r="J1243"/>
  <c r="V1242"/>
  <c r="O1242"/>
  <c r="M1242"/>
  <c r="K1242"/>
  <c r="J1242"/>
  <c r="V1241"/>
  <c r="O1241"/>
  <c r="M1241"/>
  <c r="K1241"/>
  <c r="J1241"/>
  <c r="V1240"/>
  <c r="O1240"/>
  <c r="M1240"/>
  <c r="K1240"/>
  <c r="J1240"/>
  <c r="V1239"/>
  <c r="O1239"/>
  <c r="M1239"/>
  <c r="K1239"/>
  <c r="J1239"/>
  <c r="V1238"/>
  <c r="O1238"/>
  <c r="M1238"/>
  <c r="K1238"/>
  <c r="J1238"/>
  <c r="V1237"/>
  <c r="O1237"/>
  <c r="M1237"/>
  <c r="K1237"/>
  <c r="J1237"/>
  <c r="H1237"/>
  <c r="V1236"/>
  <c r="O1236"/>
  <c r="M1236"/>
  <c r="K1236"/>
  <c r="J1236"/>
  <c r="H1236"/>
  <c r="V1235"/>
  <c r="O1235"/>
  <c r="M1235"/>
  <c r="K1235"/>
  <c r="J1235"/>
  <c r="H1235"/>
  <c r="V1234"/>
  <c r="O1234"/>
  <c r="M1234"/>
  <c r="K1234"/>
  <c r="J1234"/>
  <c r="H1234"/>
  <c r="V1233"/>
  <c r="O1233"/>
  <c r="M1233"/>
  <c r="K1233"/>
  <c r="J1233"/>
  <c r="H1233"/>
  <c r="V1232"/>
  <c r="O1232"/>
  <c r="M1232"/>
  <c r="K1232"/>
  <c r="J1232"/>
  <c r="H1232"/>
  <c r="V1231"/>
  <c r="O1231"/>
  <c r="M1231"/>
  <c r="K1231"/>
  <c r="J1231"/>
  <c r="H1231"/>
  <c r="V1230"/>
  <c r="O1230"/>
  <c r="M1230"/>
  <c r="K1230"/>
  <c r="J1230"/>
  <c r="H1230"/>
  <c r="V1229"/>
  <c r="O1229"/>
  <c r="M1229"/>
  <c r="K1229"/>
  <c r="J1229"/>
  <c r="H1229"/>
  <c r="V1228"/>
  <c r="O1228"/>
  <c r="M1228"/>
  <c r="K1228"/>
  <c r="J1228"/>
  <c r="H1228"/>
  <c r="V1227"/>
  <c r="O1227"/>
  <c r="M1227"/>
  <c r="K1227"/>
  <c r="J1227"/>
  <c r="H1227"/>
  <c r="V1226"/>
  <c r="O1226"/>
  <c r="M1226"/>
  <c r="K1226"/>
  <c r="J1226"/>
  <c r="H1226"/>
  <c r="V1225"/>
  <c r="O1225"/>
  <c r="M1225"/>
  <c r="K1225"/>
  <c r="J1225"/>
  <c r="H1225"/>
  <c r="V1224"/>
  <c r="O1224"/>
  <c r="M1224"/>
  <c r="K1224"/>
  <c r="J1224"/>
  <c r="H1224"/>
  <c r="V1223"/>
  <c r="O1223"/>
  <c r="M1223"/>
  <c r="K1223"/>
  <c r="J1223"/>
  <c r="H1223"/>
  <c r="V1222"/>
  <c r="O1222"/>
  <c r="M1222"/>
  <c r="K1222"/>
  <c r="J1222"/>
  <c r="H1222"/>
  <c r="V1221"/>
  <c r="O1221"/>
  <c r="M1221"/>
  <c r="K1221"/>
  <c r="J1221"/>
  <c r="H1221"/>
  <c r="V1220"/>
  <c r="O1220"/>
  <c r="M1220"/>
  <c r="K1220"/>
  <c r="J1220"/>
  <c r="H1220"/>
  <c r="V1219"/>
  <c r="O1219"/>
  <c r="M1219"/>
  <c r="K1219"/>
  <c r="J1219"/>
  <c r="H1219"/>
  <c r="V1218"/>
  <c r="O1218"/>
  <c r="M1218"/>
  <c r="K1218"/>
  <c r="J1218"/>
  <c r="H1218"/>
  <c r="V1217"/>
  <c r="O1217"/>
  <c r="M1217"/>
  <c r="K1217"/>
  <c r="J1217"/>
  <c r="H1217"/>
  <c r="V1216"/>
  <c r="O1216"/>
  <c r="M1216"/>
  <c r="K1216"/>
  <c r="J1216"/>
  <c r="H1216"/>
  <c r="V1215"/>
  <c r="O1215"/>
  <c r="M1215"/>
  <c r="K1215"/>
  <c r="J1215"/>
  <c r="H1215"/>
  <c r="V1214"/>
  <c r="O1214"/>
  <c r="M1214"/>
  <c r="K1214"/>
  <c r="J1214"/>
  <c r="H1214"/>
  <c r="V1213"/>
  <c r="O1213"/>
  <c r="M1213"/>
  <c r="K1213"/>
  <c r="J1213"/>
  <c r="H1213"/>
  <c r="V1212"/>
  <c r="O1212"/>
  <c r="M1212"/>
  <c r="K1212"/>
  <c r="J1212"/>
  <c r="H1212"/>
  <c r="V1211"/>
  <c r="O1211"/>
  <c r="M1211"/>
  <c r="K1211"/>
  <c r="J1211"/>
  <c r="H1211"/>
  <c r="V1210"/>
  <c r="O1210"/>
  <c r="M1210"/>
  <c r="K1210"/>
  <c r="J1210"/>
  <c r="H1210"/>
  <c r="V1209"/>
  <c r="O1209"/>
  <c r="M1209"/>
  <c r="K1209"/>
  <c r="J1209"/>
  <c r="H1209"/>
  <c r="V1208"/>
  <c r="O1208"/>
  <c r="M1208"/>
  <c r="K1208"/>
  <c r="J1208"/>
  <c r="H1208"/>
  <c r="V1207"/>
  <c r="O1207"/>
  <c r="M1207"/>
  <c r="K1207"/>
  <c r="J1207"/>
  <c r="H1207"/>
  <c r="V1206"/>
  <c r="O1206"/>
  <c r="M1206"/>
  <c r="K1206"/>
  <c r="J1206"/>
  <c r="H1206"/>
  <c r="V1205"/>
  <c r="O1205"/>
  <c r="M1205"/>
  <c r="K1205"/>
  <c r="J1205"/>
  <c r="H1205"/>
  <c r="V1204"/>
  <c r="O1204"/>
  <c r="M1204"/>
  <c r="K1204"/>
  <c r="J1204"/>
  <c r="H1204"/>
  <c r="V1203"/>
  <c r="O1203"/>
  <c r="M1203"/>
  <c r="K1203"/>
  <c r="J1203"/>
  <c r="H1203"/>
  <c r="V1202"/>
  <c r="O1202"/>
  <c r="M1202"/>
  <c r="K1202"/>
  <c r="J1202"/>
  <c r="H1202"/>
  <c r="V1201"/>
  <c r="O1201"/>
  <c r="M1201"/>
  <c r="K1201"/>
  <c r="J1201"/>
  <c r="H1201"/>
  <c r="V1200"/>
  <c r="O1200"/>
  <c r="M1200"/>
  <c r="K1200"/>
  <c r="J1200"/>
  <c r="H1200"/>
  <c r="V1199"/>
  <c r="O1199"/>
  <c r="M1199"/>
  <c r="K1199"/>
  <c r="J1199"/>
  <c r="H1199"/>
  <c r="V1198"/>
  <c r="O1198"/>
  <c r="M1198"/>
  <c r="K1198"/>
  <c r="J1198"/>
  <c r="H1198"/>
  <c r="V1197"/>
  <c r="O1197"/>
  <c r="M1197"/>
  <c r="K1197"/>
  <c r="J1197"/>
  <c r="H1197"/>
  <c r="V1196"/>
  <c r="O1196"/>
  <c r="M1196"/>
  <c r="K1196"/>
  <c r="J1196"/>
  <c r="H1196"/>
  <c r="V1195"/>
  <c r="O1195"/>
  <c r="M1195"/>
  <c r="K1195"/>
  <c r="J1195"/>
  <c r="H1195"/>
  <c r="V1194"/>
  <c r="O1194"/>
  <c r="M1194"/>
  <c r="K1194"/>
  <c r="J1194"/>
  <c r="H1194"/>
  <c r="V1193"/>
  <c r="O1193"/>
  <c r="M1193"/>
  <c r="K1193"/>
  <c r="J1193"/>
  <c r="H1193"/>
  <c r="V1192"/>
  <c r="O1192"/>
  <c r="M1192"/>
  <c r="K1192"/>
  <c r="J1192"/>
  <c r="H1192"/>
  <c r="V1191"/>
  <c r="O1191"/>
  <c r="M1191"/>
  <c r="K1191"/>
  <c r="J1191"/>
  <c r="H1191"/>
  <c r="V1190"/>
  <c r="O1190"/>
  <c r="M1190"/>
  <c r="K1190"/>
  <c r="J1190"/>
  <c r="H1190"/>
  <c r="V1189"/>
  <c r="O1189"/>
  <c r="M1189"/>
  <c r="K1189"/>
  <c r="J1189"/>
  <c r="H1189"/>
  <c r="V1188"/>
  <c r="O1188"/>
  <c r="M1188"/>
  <c r="K1188"/>
  <c r="J1188"/>
  <c r="H1188"/>
  <c r="V1187"/>
  <c r="O1187"/>
  <c r="M1187"/>
  <c r="K1187"/>
  <c r="J1187"/>
  <c r="H1187"/>
  <c r="V1186"/>
  <c r="O1186"/>
  <c r="M1186"/>
  <c r="K1186"/>
  <c r="J1186"/>
  <c r="H1186"/>
  <c r="V1185"/>
  <c r="O1185"/>
  <c r="M1185"/>
  <c r="K1185"/>
  <c r="J1185"/>
  <c r="H1185"/>
  <c r="V1184"/>
  <c r="O1184"/>
  <c r="M1184"/>
  <c r="K1184"/>
  <c r="J1184"/>
  <c r="H1184"/>
  <c r="V1183"/>
  <c r="O1183"/>
  <c r="M1183"/>
  <c r="K1183"/>
  <c r="J1183"/>
  <c r="H1183"/>
  <c r="V1182"/>
  <c r="O1182"/>
  <c r="M1182"/>
  <c r="K1182"/>
  <c r="J1182"/>
  <c r="H1182"/>
  <c r="V1181"/>
  <c r="O1181"/>
  <c r="M1181"/>
  <c r="K1181"/>
  <c r="J1181"/>
  <c r="H1181"/>
  <c r="V1180"/>
  <c r="O1180"/>
  <c r="M1180"/>
  <c r="K1180"/>
  <c r="J1180"/>
  <c r="H1180"/>
  <c r="V1179"/>
  <c r="O1179"/>
  <c r="M1179"/>
  <c r="K1179"/>
  <c r="J1179"/>
  <c r="H1179"/>
  <c r="V1178"/>
  <c r="O1178"/>
  <c r="M1178"/>
  <c r="K1178"/>
  <c r="J1178"/>
  <c r="H1178"/>
  <c r="V1175"/>
  <c r="M1175"/>
  <c r="K1175"/>
  <c r="J1175"/>
  <c r="V1174"/>
  <c r="O1174"/>
  <c r="M1174"/>
  <c r="K1174"/>
  <c r="J1174"/>
  <c r="H1174"/>
  <c r="V1173"/>
  <c r="O1173"/>
  <c r="M1173"/>
  <c r="K1173"/>
  <c r="J1173"/>
  <c r="H1173"/>
  <c r="V1172"/>
  <c r="O1172"/>
  <c r="M1172"/>
  <c r="K1172"/>
  <c r="J1172"/>
  <c r="H1172"/>
  <c r="V1171"/>
  <c r="O1171"/>
  <c r="M1171"/>
  <c r="K1171"/>
  <c r="J1171"/>
  <c r="H1171"/>
  <c r="V1170"/>
  <c r="O1170"/>
  <c r="M1170"/>
  <c r="K1170"/>
  <c r="J1170"/>
  <c r="H1170"/>
  <c r="V1169"/>
  <c r="O1169"/>
  <c r="M1169"/>
  <c r="K1169"/>
  <c r="J1169"/>
  <c r="H1169"/>
  <c r="V1168"/>
  <c r="O1168"/>
  <c r="M1168"/>
  <c r="K1168"/>
  <c r="J1168"/>
  <c r="H1168"/>
  <c r="V1167"/>
  <c r="O1167"/>
  <c r="M1167"/>
  <c r="K1167"/>
  <c r="J1167"/>
  <c r="H1167"/>
  <c r="V1166"/>
  <c r="O1166"/>
  <c r="M1166"/>
  <c r="K1166"/>
  <c r="J1166"/>
  <c r="H1166"/>
  <c r="V1165"/>
  <c r="O1165"/>
  <c r="M1165"/>
  <c r="K1165"/>
  <c r="J1165"/>
  <c r="H1165"/>
  <c r="V1164"/>
  <c r="O1164"/>
  <c r="M1164"/>
  <c r="K1164"/>
  <c r="J1164"/>
  <c r="H1164"/>
  <c r="V1163"/>
  <c r="O1163"/>
  <c r="M1163"/>
  <c r="K1163"/>
  <c r="J1163"/>
  <c r="H1163"/>
  <c r="V1162"/>
  <c r="O1162"/>
  <c r="M1162"/>
  <c r="K1162"/>
  <c r="J1162"/>
  <c r="H1162"/>
  <c r="V1161"/>
  <c r="O1161"/>
  <c r="M1161"/>
  <c r="K1161"/>
  <c r="J1161"/>
  <c r="H1161"/>
  <c r="V1160"/>
  <c r="O1160"/>
  <c r="M1160"/>
  <c r="K1160"/>
  <c r="J1160"/>
  <c r="H1160"/>
  <c r="V1159"/>
  <c r="O1159"/>
  <c r="M1159"/>
  <c r="K1159"/>
  <c r="J1159"/>
  <c r="H1159"/>
  <c r="V1158"/>
  <c r="O1158"/>
  <c r="M1158"/>
  <c r="K1158"/>
  <c r="J1158"/>
  <c r="H1158"/>
  <c r="V1157"/>
  <c r="O1157"/>
  <c r="M1157"/>
  <c r="K1157"/>
  <c r="J1157"/>
  <c r="H1157"/>
  <c r="V1156"/>
  <c r="O1156"/>
  <c r="M1156"/>
  <c r="K1156"/>
  <c r="J1156"/>
  <c r="H1156"/>
  <c r="V1155"/>
  <c r="O1155"/>
  <c r="M1155"/>
  <c r="K1155"/>
  <c r="J1155"/>
  <c r="H1155"/>
  <c r="V1154"/>
  <c r="O1154"/>
  <c r="M1154"/>
  <c r="K1154"/>
  <c r="J1154"/>
  <c r="H1154"/>
  <c r="V1153"/>
  <c r="O1153"/>
  <c r="M1153"/>
  <c r="K1153"/>
  <c r="J1153"/>
  <c r="H1153"/>
  <c r="V1152"/>
  <c r="O1152"/>
  <c r="M1152"/>
  <c r="K1152"/>
  <c r="J1152"/>
  <c r="H1152"/>
  <c r="V1151"/>
  <c r="O1151"/>
  <c r="M1151"/>
  <c r="K1151"/>
  <c r="J1151"/>
  <c r="H1151"/>
  <c r="V1150"/>
  <c r="O1150"/>
  <c r="M1150"/>
  <c r="K1150"/>
  <c r="J1150"/>
  <c r="H1150"/>
  <c r="V1149"/>
  <c r="O1149"/>
  <c r="M1149"/>
  <c r="K1149"/>
  <c r="J1149"/>
  <c r="H1149"/>
  <c r="V1148"/>
  <c r="O1148"/>
  <c r="M1148"/>
  <c r="K1148"/>
  <c r="J1148"/>
  <c r="H1148"/>
  <c r="V1147"/>
  <c r="O1147"/>
  <c r="M1147"/>
  <c r="K1147"/>
  <c r="J1147"/>
  <c r="H1147"/>
  <c r="V1146"/>
  <c r="O1146"/>
  <c r="M1146"/>
  <c r="K1146"/>
  <c r="J1146"/>
  <c r="H1146"/>
  <c r="V1145"/>
  <c r="O1145"/>
  <c r="M1145"/>
  <c r="K1145"/>
  <c r="J1145"/>
  <c r="H1145"/>
  <c r="V1144"/>
  <c r="O1144"/>
  <c r="M1144"/>
  <c r="K1144"/>
  <c r="J1144"/>
  <c r="H1144"/>
  <c r="V1143"/>
  <c r="O1143"/>
  <c r="M1143"/>
  <c r="K1143"/>
  <c r="J1143"/>
  <c r="H1143"/>
  <c r="V1142"/>
  <c r="O1142"/>
  <c r="M1142"/>
  <c r="K1142"/>
  <c r="J1142"/>
  <c r="H1142"/>
  <c r="V1141"/>
  <c r="O1141"/>
  <c r="M1141"/>
  <c r="K1141"/>
  <c r="J1141"/>
  <c r="H1141"/>
  <c r="V1140"/>
  <c r="O1140"/>
  <c r="M1140"/>
  <c r="K1140"/>
  <c r="J1140"/>
  <c r="H1140"/>
  <c r="V1139"/>
  <c r="O1139"/>
  <c r="M1139"/>
  <c r="K1139"/>
  <c r="J1139"/>
  <c r="H1139"/>
  <c r="V1138"/>
  <c r="O1138"/>
  <c r="M1138"/>
  <c r="K1138"/>
  <c r="J1138"/>
  <c r="H1138"/>
  <c r="V1137"/>
  <c r="O1137"/>
  <c r="M1137"/>
  <c r="K1137"/>
  <c r="J1137"/>
  <c r="H1137"/>
  <c r="V1136"/>
  <c r="O1136"/>
  <c r="M1136"/>
  <c r="K1136"/>
  <c r="J1136"/>
  <c r="H1136"/>
  <c r="V1135"/>
  <c r="O1135"/>
  <c r="M1135"/>
  <c r="K1135"/>
  <c r="J1135"/>
  <c r="H1135"/>
  <c r="V1134"/>
  <c r="O1134"/>
  <c r="M1134"/>
  <c r="K1134"/>
  <c r="J1134"/>
  <c r="H1134"/>
  <c r="V1133"/>
  <c r="O1133"/>
  <c r="M1133"/>
  <c r="K1133"/>
  <c r="J1133"/>
  <c r="H1133"/>
  <c r="V1132"/>
  <c r="O1132"/>
  <c r="M1132"/>
  <c r="K1132"/>
  <c r="J1132"/>
  <c r="H1132"/>
  <c r="V1131"/>
  <c r="O1131"/>
  <c r="M1131"/>
  <c r="K1131"/>
  <c r="J1131"/>
  <c r="H1131"/>
  <c r="V1130"/>
  <c r="O1130"/>
  <c r="M1130"/>
  <c r="K1130"/>
  <c r="J1130"/>
  <c r="H1130"/>
  <c r="V1129"/>
  <c r="O1129"/>
  <c r="M1129"/>
  <c r="K1129"/>
  <c r="J1129"/>
  <c r="H1129"/>
  <c r="V1128"/>
  <c r="O1128"/>
  <c r="M1128"/>
  <c r="K1128"/>
  <c r="J1128"/>
  <c r="H1128"/>
  <c r="V1127"/>
  <c r="O1127"/>
  <c r="M1127"/>
  <c r="K1127"/>
  <c r="J1127"/>
  <c r="H1127"/>
  <c r="V1126"/>
  <c r="O1126"/>
  <c r="M1126"/>
  <c r="K1126"/>
  <c r="J1126"/>
  <c r="H1126"/>
  <c r="V1125"/>
  <c r="O1125"/>
  <c r="M1125"/>
  <c r="K1125"/>
  <c r="J1125"/>
  <c r="H1125"/>
  <c r="V1124"/>
  <c r="O1124"/>
  <c r="M1124"/>
  <c r="K1124"/>
  <c r="J1124"/>
  <c r="H1124"/>
  <c r="V1123"/>
  <c r="O1123"/>
  <c r="M1123"/>
  <c r="K1123"/>
  <c r="J1123"/>
  <c r="H1123"/>
  <c r="V1122"/>
  <c r="O1122"/>
  <c r="M1122"/>
  <c r="K1122"/>
  <c r="J1122"/>
  <c r="H1122"/>
  <c r="V1121"/>
  <c r="O1121"/>
  <c r="M1121"/>
  <c r="K1121"/>
  <c r="J1121"/>
  <c r="H1121"/>
  <c r="V1120"/>
  <c r="O1120"/>
  <c r="M1120"/>
  <c r="K1120"/>
  <c r="J1120"/>
  <c r="H1120"/>
  <c r="V1119"/>
  <c r="O1119"/>
  <c r="M1119"/>
  <c r="K1119"/>
  <c r="J1119"/>
  <c r="H1119"/>
  <c r="V1118"/>
  <c r="O1118"/>
  <c r="M1118"/>
  <c r="K1118"/>
  <c r="J1118"/>
  <c r="H1118"/>
  <c r="V1115"/>
  <c r="O1115"/>
  <c r="M1115"/>
  <c r="K1115"/>
  <c r="J1115"/>
  <c r="H1115"/>
  <c r="V1114"/>
  <c r="O1114"/>
  <c r="M1114"/>
  <c r="K1114"/>
  <c r="J1114"/>
  <c r="H1114"/>
  <c r="V1113"/>
  <c r="O1113"/>
  <c r="M1113"/>
  <c r="K1113"/>
  <c r="J1113"/>
  <c r="H1113"/>
  <c r="V1112"/>
  <c r="O1112"/>
  <c r="M1112"/>
  <c r="K1112"/>
  <c r="J1112"/>
  <c r="H1112"/>
  <c r="V1111"/>
  <c r="O1111"/>
  <c r="M1111"/>
  <c r="K1111"/>
  <c r="J1111"/>
  <c r="H1111"/>
  <c r="V1110"/>
  <c r="O1110"/>
  <c r="M1110"/>
  <c r="K1110"/>
  <c r="J1110"/>
  <c r="H1110"/>
  <c r="V1109"/>
  <c r="O1109"/>
  <c r="M1109"/>
  <c r="K1109"/>
  <c r="J1109"/>
  <c r="H1109"/>
  <c r="V1108"/>
  <c r="O1108"/>
  <c r="M1108"/>
  <c r="K1108"/>
  <c r="J1108"/>
  <c r="H1108"/>
  <c r="V1107"/>
  <c r="O1107"/>
  <c r="M1107"/>
  <c r="K1107"/>
  <c r="J1107"/>
  <c r="H1107"/>
  <c r="V1106"/>
  <c r="O1106"/>
  <c r="M1106"/>
  <c r="K1106"/>
  <c r="J1106"/>
  <c r="H1106"/>
  <c r="V1105"/>
  <c r="O1105"/>
  <c r="M1105"/>
  <c r="K1105"/>
  <c r="J1105"/>
  <c r="H1105"/>
  <c r="V1104"/>
  <c r="O1104"/>
  <c r="M1104"/>
  <c r="K1104"/>
  <c r="J1104"/>
  <c r="H1104"/>
  <c r="V1103"/>
  <c r="O1103"/>
  <c r="M1103"/>
  <c r="K1103"/>
  <c r="J1103"/>
  <c r="H1103"/>
  <c r="V1102"/>
  <c r="O1102"/>
  <c r="M1102"/>
  <c r="K1102"/>
  <c r="J1102"/>
  <c r="H1102"/>
  <c r="V1101"/>
  <c r="O1101"/>
  <c r="M1101"/>
  <c r="K1101"/>
  <c r="J1101"/>
  <c r="H1101"/>
  <c r="V1100"/>
  <c r="O1100"/>
  <c r="M1100"/>
  <c r="K1100"/>
  <c r="J1100"/>
  <c r="H1100"/>
  <c r="AM1099"/>
  <c r="V1099"/>
  <c r="O1099"/>
  <c r="M1099"/>
  <c r="K1099"/>
  <c r="J1099"/>
  <c r="H1099"/>
  <c r="G1099"/>
  <c r="E1099"/>
  <c r="AM1098"/>
  <c r="V1098"/>
  <c r="O1098"/>
  <c r="M1098"/>
  <c r="K1098"/>
  <c r="J1098"/>
  <c r="H1098"/>
  <c r="G1098"/>
  <c r="E1098"/>
  <c r="AM1097"/>
  <c r="V1097"/>
  <c r="S1097"/>
  <c r="O1097"/>
  <c r="M1097"/>
  <c r="K1097"/>
  <c r="J1097"/>
  <c r="H1097"/>
  <c r="G1097"/>
  <c r="E1097"/>
  <c r="AM1096"/>
  <c r="V1096"/>
  <c r="S1096"/>
  <c r="O1096"/>
  <c r="M1096"/>
  <c r="K1096"/>
  <c r="J1096"/>
  <c r="H1096"/>
  <c r="G1096"/>
  <c r="E1096"/>
  <c r="AM1095"/>
  <c r="V1095"/>
  <c r="S1095"/>
  <c r="O1095"/>
  <c r="M1095"/>
  <c r="K1095"/>
  <c r="J1095"/>
  <c r="H1095"/>
  <c r="G1095"/>
  <c r="E1095"/>
  <c r="AM1094"/>
  <c r="V1094"/>
  <c r="S1094"/>
  <c r="O1094"/>
  <c r="M1094"/>
  <c r="K1094"/>
  <c r="J1094"/>
  <c r="H1094"/>
  <c r="G1094"/>
  <c r="E1094"/>
  <c r="AH1093"/>
  <c r="AM1093" s="1"/>
  <c r="V1093"/>
  <c r="S1093"/>
  <c r="O1093"/>
  <c r="M1093"/>
  <c r="K1093"/>
  <c r="J1093"/>
  <c r="H1093"/>
  <c r="G1093"/>
  <c r="E1093"/>
  <c r="AH1092"/>
  <c r="AM1092" s="1"/>
  <c r="V1092"/>
  <c r="S1092"/>
  <c r="O1092"/>
  <c r="M1092"/>
  <c r="K1092"/>
  <c r="J1092"/>
  <c r="H1092"/>
  <c r="G1092"/>
  <c r="E1092"/>
  <c r="AH1091"/>
  <c r="AM1091" s="1"/>
  <c r="V1091"/>
  <c r="S1091"/>
  <c r="O1091"/>
  <c r="M1091"/>
  <c r="K1091"/>
  <c r="J1091"/>
  <c r="H1091"/>
  <c r="G1091"/>
  <c r="E1091"/>
  <c r="AH1090"/>
  <c r="AM1090" s="1"/>
  <c r="V1090"/>
  <c r="S1090"/>
  <c r="O1090"/>
  <c r="M1090"/>
  <c r="K1090"/>
  <c r="J1090"/>
  <c r="H1090"/>
  <c r="G1090"/>
  <c r="E1090"/>
  <c r="AH1089"/>
  <c r="AM1089" s="1"/>
  <c r="V1089"/>
  <c r="S1089"/>
  <c r="O1089"/>
  <c r="M1089"/>
  <c r="K1089"/>
  <c r="J1089"/>
  <c r="H1089"/>
  <c r="G1089"/>
  <c r="E1089"/>
  <c r="AH1088"/>
  <c r="AM1088" s="1"/>
  <c r="V1088"/>
  <c r="S1088"/>
  <c r="O1088"/>
  <c r="M1088"/>
  <c r="K1088"/>
  <c r="J1088"/>
  <c r="H1088"/>
  <c r="G1088"/>
  <c r="E1088"/>
  <c r="AH1087"/>
  <c r="AM1087" s="1"/>
  <c r="V1087"/>
  <c r="S1087"/>
  <c r="O1087"/>
  <c r="M1087"/>
  <c r="K1087"/>
  <c r="J1087"/>
  <c r="H1087"/>
  <c r="G1087"/>
  <c r="E1087"/>
  <c r="AH1086"/>
  <c r="AM1086" s="1"/>
  <c r="V1086"/>
  <c r="S1086"/>
  <c r="O1086"/>
  <c r="M1086"/>
  <c r="K1086"/>
  <c r="J1086"/>
  <c r="H1086"/>
  <c r="G1086"/>
  <c r="E1086"/>
  <c r="AH1085"/>
  <c r="AM1085" s="1"/>
  <c r="V1085"/>
  <c r="S1085"/>
  <c r="O1085"/>
  <c r="M1085"/>
  <c r="K1085"/>
  <c r="J1085"/>
  <c r="H1085"/>
  <c r="G1085"/>
  <c r="E1085"/>
  <c r="AH1084"/>
  <c r="AM1084" s="1"/>
  <c r="V1084"/>
  <c r="S1084"/>
  <c r="O1084"/>
  <c r="M1084"/>
  <c r="K1084"/>
  <c r="J1084"/>
  <c r="H1084"/>
  <c r="G1084"/>
  <c r="E1084"/>
  <c r="AH1083"/>
  <c r="AM1083" s="1"/>
  <c r="V1083"/>
  <c r="S1083"/>
  <c r="O1083"/>
  <c r="M1083"/>
  <c r="K1083"/>
  <c r="J1083"/>
  <c r="H1083"/>
  <c r="G1083"/>
  <c r="E1083"/>
  <c r="AH1082"/>
  <c r="AM1082" s="1"/>
  <c r="V1082"/>
  <c r="S1082"/>
  <c r="O1082"/>
  <c r="M1082"/>
  <c r="K1082"/>
  <c r="J1082"/>
  <c r="H1082"/>
  <c r="G1082"/>
  <c r="E1082"/>
  <c r="AH1081"/>
  <c r="AM1081" s="1"/>
  <c r="V1081"/>
  <c r="S1081"/>
  <c r="O1081"/>
  <c r="M1081"/>
  <c r="K1081"/>
  <c r="J1081"/>
  <c r="H1081"/>
  <c r="G1081"/>
  <c r="E1081"/>
  <c r="AH1080"/>
  <c r="AM1080" s="1"/>
  <c r="V1080"/>
  <c r="S1080"/>
  <c r="O1080"/>
  <c r="M1080"/>
  <c r="K1080"/>
  <c r="J1080"/>
  <c r="H1080"/>
  <c r="G1080"/>
  <c r="E1080"/>
  <c r="AM1079"/>
  <c r="AH1079"/>
  <c r="V1079"/>
  <c r="S1079"/>
  <c r="O1079"/>
  <c r="M1079"/>
  <c r="K1079"/>
  <c r="J1079"/>
  <c r="H1079"/>
  <c r="G1079"/>
  <c r="E1079"/>
  <c r="AH1078"/>
  <c r="AM1078" s="1"/>
  <c r="V1078"/>
  <c r="S1078"/>
  <c r="O1078"/>
  <c r="M1078"/>
  <c r="K1078"/>
  <c r="J1078"/>
  <c r="H1078"/>
  <c r="G1078"/>
  <c r="E1078"/>
  <c r="AH1077"/>
  <c r="AM1077" s="1"/>
  <c r="V1077"/>
  <c r="S1077"/>
  <c r="O1077"/>
  <c r="M1077"/>
  <c r="K1077"/>
  <c r="J1077"/>
  <c r="H1077"/>
  <c r="G1077"/>
  <c r="E1077"/>
  <c r="AH1076"/>
  <c r="AM1076" s="1"/>
  <c r="V1076"/>
  <c r="S1076"/>
  <c r="O1076"/>
  <c r="M1076"/>
  <c r="K1076"/>
  <c r="J1076"/>
  <c r="H1076"/>
  <c r="G1076"/>
  <c r="E1076"/>
  <c r="AH1075"/>
  <c r="AM1075" s="1"/>
  <c r="V1075"/>
  <c r="S1075"/>
  <c r="O1075"/>
  <c r="M1075"/>
  <c r="K1075"/>
  <c r="J1075"/>
  <c r="H1075"/>
  <c r="G1075"/>
  <c r="E1075"/>
  <c r="AH1074"/>
  <c r="AM1074" s="1"/>
  <c r="V1074"/>
  <c r="S1074"/>
  <c r="O1074"/>
  <c r="M1074"/>
  <c r="K1074"/>
  <c r="J1074"/>
  <c r="H1074"/>
  <c r="G1074"/>
  <c r="E1074"/>
  <c r="AH1073"/>
  <c r="AM1073" s="1"/>
  <c r="V1073"/>
  <c r="S1073"/>
  <c r="O1073"/>
  <c r="M1073"/>
  <c r="K1073"/>
  <c r="J1073"/>
  <c r="H1073"/>
  <c r="G1073"/>
  <c r="E1073"/>
  <c r="AM1072"/>
  <c r="V1072"/>
  <c r="S1072"/>
  <c r="O1072"/>
  <c r="M1072"/>
  <c r="K1072"/>
  <c r="J1072"/>
  <c r="H1072"/>
  <c r="G1072"/>
  <c r="E1072"/>
  <c r="AH1071"/>
  <c r="AM1071" s="1"/>
  <c r="V1071"/>
  <c r="S1071"/>
  <c r="O1071"/>
  <c r="M1071"/>
  <c r="K1071"/>
  <c r="J1071"/>
  <c r="H1071"/>
  <c r="G1071"/>
  <c r="E1071"/>
  <c r="AH1070"/>
  <c r="AM1070" s="1"/>
  <c r="V1070"/>
  <c r="S1070"/>
  <c r="O1070"/>
  <c r="M1070"/>
  <c r="K1070"/>
  <c r="J1070"/>
  <c r="H1070"/>
  <c r="G1070"/>
  <c r="E1070"/>
  <c r="AH1069"/>
  <c r="AM1069" s="1"/>
  <c r="V1069"/>
  <c r="S1069"/>
  <c r="O1069"/>
  <c r="M1069"/>
  <c r="K1069"/>
  <c r="J1069"/>
  <c r="H1069"/>
  <c r="G1069"/>
  <c r="E1069"/>
  <c r="AH1068"/>
  <c r="AM1068" s="1"/>
  <c r="V1068"/>
  <c r="S1068"/>
  <c r="O1068"/>
  <c r="M1068"/>
  <c r="K1068"/>
  <c r="J1068"/>
  <c r="H1068"/>
  <c r="G1068"/>
  <c r="E1068"/>
  <c r="AH1067"/>
  <c r="AM1067" s="1"/>
  <c r="V1067"/>
  <c r="S1067"/>
  <c r="O1067"/>
  <c r="M1067"/>
  <c r="K1067"/>
  <c r="J1067"/>
  <c r="H1067"/>
  <c r="G1067"/>
  <c r="E1067"/>
  <c r="AH1066"/>
  <c r="AM1066" s="1"/>
  <c r="V1066"/>
  <c r="S1066"/>
  <c r="O1066"/>
  <c r="M1066"/>
  <c r="K1066"/>
  <c r="J1066"/>
  <c r="H1066"/>
  <c r="G1066"/>
  <c r="E1066"/>
  <c r="AH1065"/>
  <c r="AM1065" s="1"/>
  <c r="V1065"/>
  <c r="S1065"/>
  <c r="O1065"/>
  <c r="M1065"/>
  <c r="K1065"/>
  <c r="J1065"/>
  <c r="H1065"/>
  <c r="G1065"/>
  <c r="E1065"/>
  <c r="AH1064"/>
  <c r="AM1064" s="1"/>
  <c r="V1064"/>
  <c r="S1064"/>
  <c r="O1064"/>
  <c r="M1064"/>
  <c r="K1064"/>
  <c r="J1064"/>
  <c r="H1064"/>
  <c r="G1064"/>
  <c r="E1064"/>
  <c r="AH1063"/>
  <c r="AM1063" s="1"/>
  <c r="V1063"/>
  <c r="S1063"/>
  <c r="O1063"/>
  <c r="M1063"/>
  <c r="K1063"/>
  <c r="J1063"/>
  <c r="H1063"/>
  <c r="G1063"/>
  <c r="E1063"/>
  <c r="AH1062"/>
  <c r="AM1062" s="1"/>
  <c r="V1062"/>
  <c r="S1062"/>
  <c r="O1062"/>
  <c r="M1062"/>
  <c r="K1062"/>
  <c r="J1062"/>
  <c r="H1062"/>
  <c r="G1062"/>
  <c r="E1062"/>
  <c r="AH1061"/>
  <c r="AM1061" s="1"/>
  <c r="V1061"/>
  <c r="S1061"/>
  <c r="O1061"/>
  <c r="M1061"/>
  <c r="K1061"/>
  <c r="J1061"/>
  <c r="H1061"/>
  <c r="G1061"/>
  <c r="E1061"/>
  <c r="AH1060"/>
  <c r="AM1060" s="1"/>
  <c r="V1060"/>
  <c r="S1060"/>
  <c r="O1060"/>
  <c r="M1060"/>
  <c r="K1060"/>
  <c r="J1060"/>
  <c r="H1060"/>
  <c r="G1060"/>
  <c r="E1060"/>
  <c r="AH1059"/>
  <c r="AM1059" s="1"/>
  <c r="V1059"/>
  <c r="S1059"/>
  <c r="O1059"/>
  <c r="M1059"/>
  <c r="K1059"/>
  <c r="J1059"/>
  <c r="H1059"/>
  <c r="G1059"/>
  <c r="E1059"/>
  <c r="AH1058"/>
  <c r="AM1058" s="1"/>
  <c r="V1058"/>
  <c r="S1058"/>
  <c r="O1058"/>
  <c r="M1058"/>
  <c r="K1058"/>
  <c r="J1058"/>
  <c r="H1058"/>
  <c r="G1058"/>
  <c r="E1058"/>
  <c r="AH1057"/>
  <c r="AM1057" s="1"/>
  <c r="V1057"/>
  <c r="S1057"/>
  <c r="O1057"/>
  <c r="M1057"/>
  <c r="K1057"/>
  <c r="J1057"/>
  <c r="H1057"/>
  <c r="G1057"/>
  <c r="E1057"/>
  <c r="AH1056"/>
  <c r="AM1056" s="1"/>
  <c r="V1056"/>
  <c r="S1056"/>
  <c r="O1056"/>
  <c r="M1056"/>
  <c r="K1056"/>
  <c r="J1056"/>
  <c r="H1056"/>
  <c r="G1056"/>
  <c r="E1056"/>
  <c r="AH1055"/>
  <c r="AM1055" s="1"/>
  <c r="V1055"/>
  <c r="S1055"/>
  <c r="O1055"/>
  <c r="M1055"/>
  <c r="K1055"/>
  <c r="J1055"/>
  <c r="H1055"/>
  <c r="G1055"/>
  <c r="E1055"/>
  <c r="AH1054"/>
  <c r="AM1054" s="1"/>
  <c r="V1054"/>
  <c r="S1054"/>
  <c r="O1054"/>
  <c r="M1054"/>
  <c r="K1054"/>
  <c r="J1054"/>
  <c r="H1054"/>
  <c r="G1054"/>
  <c r="E1054"/>
  <c r="AH1053"/>
  <c r="AM1053" s="1"/>
  <c r="V1053"/>
  <c r="S1053"/>
  <c r="O1053"/>
  <c r="M1053"/>
  <c r="K1053"/>
  <c r="J1053"/>
  <c r="H1053"/>
  <c r="G1053"/>
  <c r="E1053"/>
  <c r="AH1052"/>
  <c r="AM1052" s="1"/>
  <c r="V1052"/>
  <c r="S1052"/>
  <c r="O1052"/>
  <c r="M1052"/>
  <c r="K1052"/>
  <c r="J1052"/>
  <c r="H1052"/>
  <c r="G1052"/>
  <c r="E1052"/>
  <c r="AH1051"/>
  <c r="AM1051" s="1"/>
  <c r="V1051"/>
  <c r="S1051"/>
  <c r="O1051"/>
  <c r="M1051"/>
  <c r="K1051"/>
  <c r="J1051"/>
  <c r="H1051"/>
  <c r="G1051"/>
  <c r="E1051"/>
  <c r="AH1050"/>
  <c r="AM1050" s="1"/>
  <c r="V1050"/>
  <c r="S1050"/>
  <c r="O1050"/>
  <c r="M1050"/>
  <c r="K1050"/>
  <c r="J1050"/>
  <c r="H1050"/>
  <c r="G1050"/>
  <c r="E1050"/>
  <c r="AH1049"/>
  <c r="AM1049" s="1"/>
  <c r="V1049"/>
  <c r="S1049"/>
  <c r="O1049"/>
  <c r="M1049"/>
  <c r="K1049"/>
  <c r="J1049"/>
  <c r="H1049"/>
  <c r="G1049"/>
  <c r="E1049"/>
  <c r="AH1048"/>
  <c r="AM1048" s="1"/>
  <c r="V1048"/>
  <c r="S1048"/>
  <c r="O1048"/>
  <c r="M1048"/>
  <c r="K1048"/>
  <c r="J1048"/>
  <c r="H1048"/>
  <c r="G1048"/>
  <c r="E1048"/>
  <c r="AH1047"/>
  <c r="AM1047" s="1"/>
  <c r="V1047"/>
  <c r="S1047"/>
  <c r="O1047"/>
  <c r="M1047"/>
  <c r="K1047"/>
  <c r="J1047"/>
  <c r="H1047"/>
  <c r="G1047"/>
  <c r="E1047"/>
  <c r="AH1046"/>
  <c r="AM1046" s="1"/>
  <c r="V1046"/>
  <c r="S1046"/>
  <c r="O1046"/>
  <c r="M1046"/>
  <c r="K1046"/>
  <c r="J1046"/>
  <c r="H1046"/>
  <c r="G1046"/>
  <c r="E1046"/>
  <c r="AH1045"/>
  <c r="AM1045" s="1"/>
  <c r="V1045"/>
  <c r="S1045"/>
  <c r="O1045"/>
  <c r="M1045"/>
  <c r="K1045"/>
  <c r="J1045"/>
  <c r="H1045"/>
  <c r="G1045"/>
  <c r="E1045"/>
  <c r="V1044"/>
  <c r="O1044"/>
  <c r="J1044"/>
  <c r="V1043"/>
  <c r="O1043"/>
  <c r="J1043"/>
  <c r="V1042"/>
  <c r="O1042"/>
  <c r="J1042"/>
  <c r="V1041"/>
  <c r="O1041"/>
  <c r="J1041"/>
  <c r="V1040"/>
  <c r="O1040"/>
  <c r="J1040"/>
  <c r="V1039"/>
  <c r="O1039"/>
  <c r="J1039"/>
  <c r="V1038"/>
  <c r="O1038"/>
  <c r="J1038"/>
  <c r="V1037"/>
  <c r="O1037"/>
  <c r="J1037"/>
  <c r="V1036"/>
  <c r="O1036"/>
  <c r="J1036"/>
  <c r="V1035"/>
  <c r="O1035"/>
  <c r="J1035"/>
  <c r="V1034"/>
  <c r="O1034"/>
  <c r="J1034"/>
  <c r="V1033"/>
  <c r="O1033"/>
  <c r="J1033"/>
  <c r="V1032"/>
  <c r="O1032"/>
  <c r="J1032"/>
  <c r="V1031"/>
  <c r="O1031"/>
  <c r="J1031"/>
  <c r="V1030"/>
  <c r="O1030"/>
  <c r="J1030"/>
  <c r="V1029"/>
  <c r="O1029"/>
  <c r="J1029"/>
  <c r="V1028"/>
  <c r="O1028"/>
  <c r="J1028"/>
  <c r="V1027"/>
  <c r="O1027"/>
  <c r="J1027"/>
  <c r="V1026"/>
  <c r="O1026"/>
  <c r="J1026"/>
  <c r="V1025"/>
  <c r="O1025"/>
  <c r="J1025"/>
  <c r="V1024"/>
  <c r="O1024"/>
  <c r="J1024"/>
  <c r="V1023"/>
  <c r="O1023"/>
  <c r="J1023"/>
  <c r="V1022"/>
  <c r="O1022"/>
  <c r="J1022"/>
  <c r="V1021"/>
  <c r="O1021"/>
  <c r="J1021"/>
  <c r="V1020"/>
  <c r="O1020"/>
  <c r="J1020"/>
  <c r="V1019"/>
  <c r="O1019"/>
  <c r="J1019"/>
  <c r="V1018"/>
  <c r="J1018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Z813"/>
  <c r="Y813"/>
  <c r="Z812"/>
  <c r="Y812"/>
  <c r="Z811"/>
  <c r="Y811"/>
  <c r="Z810"/>
  <c r="Y810"/>
  <c r="Z809"/>
  <c r="Y809"/>
  <c r="Z808"/>
  <c r="Y808"/>
  <c r="Z807"/>
  <c r="Y807"/>
  <c r="Z806"/>
  <c r="Y806"/>
  <c r="AH458"/>
  <c r="AM458" s="1"/>
  <c r="AM452"/>
  <c r="AM451"/>
  <c r="AM450"/>
  <c r="AM449"/>
  <c r="AM448"/>
  <c r="AM444"/>
  <c r="AM425"/>
  <c r="AM424"/>
  <c r="AM423"/>
  <c r="V412"/>
  <c r="V411"/>
  <c r="V410"/>
  <c r="V409"/>
  <c r="V408"/>
  <c r="V407"/>
  <c r="V406"/>
  <c r="V405"/>
  <c r="V404"/>
  <c r="V403"/>
  <c r="V402"/>
  <c r="V401"/>
  <c r="V400"/>
  <c r="V399"/>
  <c r="V398"/>
  <c r="V397"/>
  <c r="V396"/>
  <c r="V395"/>
  <c r="V394"/>
  <c r="V393"/>
  <c r="V392"/>
  <c r="V391"/>
  <c r="V390"/>
  <c r="V373"/>
  <c r="V372"/>
  <c r="V371"/>
  <c r="V370"/>
  <c r="V369"/>
  <c r="V368"/>
  <c r="V367"/>
  <c r="V366"/>
  <c r="V365"/>
  <c r="V364"/>
  <c r="V363"/>
  <c r="V362"/>
  <c r="V361"/>
  <c r="V360"/>
  <c r="V359"/>
  <c r="V358"/>
  <c r="AM355"/>
  <c r="P355"/>
  <c r="O355"/>
  <c r="AM354"/>
  <c r="P354"/>
  <c r="O354"/>
  <c r="AM353"/>
  <c r="P353"/>
  <c r="O353"/>
  <c r="AM352"/>
  <c r="P352"/>
  <c r="O352"/>
  <c r="AM351"/>
  <c r="P351"/>
  <c r="O351"/>
  <c r="AM350"/>
  <c r="P350"/>
  <c r="O350"/>
  <c r="AM349"/>
  <c r="P349"/>
  <c r="O349"/>
  <c r="AM348"/>
  <c r="P348"/>
  <c r="O348"/>
  <c r="AM347"/>
  <c r="P347"/>
  <c r="O347"/>
  <c r="AM346"/>
  <c r="P346"/>
  <c r="O346"/>
  <c r="AM345"/>
  <c r="P345"/>
  <c r="O345"/>
  <c r="AM344"/>
  <c r="P344"/>
  <c r="O344"/>
  <c r="AM343"/>
  <c r="P343"/>
  <c r="O343"/>
  <c r="AM342"/>
  <c r="P342"/>
  <c r="O342"/>
  <c r="AM341"/>
  <c r="P341"/>
  <c r="O341"/>
  <c r="AM340"/>
  <c r="P340"/>
  <c r="O340"/>
  <c r="AM339"/>
  <c r="P339"/>
  <c r="O339"/>
  <c r="AM338"/>
  <c r="P338"/>
  <c r="O338"/>
  <c r="AM337"/>
  <c r="P337"/>
  <c r="O337"/>
  <c r="AM336"/>
  <c r="P336"/>
  <c r="O336"/>
  <c r="AM335"/>
  <c r="O335"/>
  <c r="AM334"/>
  <c r="O334"/>
  <c r="AM333"/>
  <c r="O333"/>
  <c r="AM332"/>
  <c r="P332"/>
  <c r="O332"/>
  <c r="AM331"/>
  <c r="P331"/>
  <c r="O331"/>
  <c r="AM330"/>
  <c r="P330"/>
  <c r="O330"/>
  <c r="AM329"/>
  <c r="O329"/>
  <c r="AM328"/>
  <c r="O328"/>
  <c r="AM327"/>
  <c r="O327"/>
  <c r="AM326"/>
  <c r="P326"/>
  <c r="O326"/>
  <c r="AM325"/>
  <c r="P325"/>
  <c r="O325"/>
  <c r="AM324"/>
  <c r="P324"/>
  <c r="O324"/>
  <c r="AM323"/>
  <c r="O323"/>
  <c r="AM322"/>
  <c r="O322"/>
  <c r="AM321"/>
  <c r="O321"/>
  <c r="AM320"/>
  <c r="P320"/>
  <c r="O320"/>
  <c r="AM319"/>
  <c r="P319"/>
  <c r="O319"/>
  <c r="AM318"/>
  <c r="P318"/>
  <c r="O318"/>
  <c r="V317"/>
  <c r="V316"/>
  <c r="V315"/>
  <c r="V314"/>
  <c r="V313"/>
  <c r="V312"/>
  <c r="V311"/>
  <c r="V310"/>
  <c r="V309"/>
  <c r="V308"/>
  <c r="V307"/>
  <c r="AM306"/>
  <c r="V306"/>
  <c r="AM305"/>
  <c r="V305"/>
  <c r="AM304"/>
  <c r="V304"/>
  <c r="AM303"/>
  <c r="V303"/>
  <c r="AM302"/>
  <c r="V302"/>
  <c r="AM301"/>
  <c r="V301"/>
  <c r="AM300"/>
  <c r="V300"/>
  <c r="AM299"/>
  <c r="V299"/>
  <c r="AM298"/>
  <c r="V298"/>
  <c r="AM297"/>
  <c r="V297"/>
  <c r="AM296"/>
  <c r="V296"/>
  <c r="AM295"/>
  <c r="V295"/>
  <c r="AM294"/>
  <c r="V294"/>
  <c r="AM293"/>
  <c r="V293"/>
  <c r="AM292"/>
  <c r="V292"/>
  <c r="AM291"/>
  <c r="V291"/>
  <c r="AM290"/>
  <c r="V290"/>
  <c r="AM289"/>
  <c r="V289"/>
  <c r="AM288"/>
  <c r="V288"/>
  <c r="AM287"/>
  <c r="V287"/>
  <c r="AM286"/>
  <c r="V286"/>
  <c r="AM285"/>
  <c r="V285"/>
  <c r="AM284"/>
  <c r="V284"/>
  <c r="AM283"/>
  <c r="V283"/>
  <c r="AM282"/>
  <c r="V282"/>
  <c r="AM281"/>
  <c r="V281"/>
  <c r="AM280"/>
  <c r="V280"/>
  <c r="AM279"/>
  <c r="V279"/>
  <c r="AM278"/>
  <c r="V278"/>
  <c r="AM277"/>
  <c r="V277"/>
  <c r="AM276"/>
  <c r="V276"/>
  <c r="AM275"/>
  <c r="V275"/>
  <c r="AM274"/>
  <c r="V274"/>
  <c r="AM273"/>
  <c r="V273"/>
  <c r="AM272"/>
  <c r="V272"/>
  <c r="AM271"/>
  <c r="V271"/>
  <c r="AM270"/>
  <c r="V270"/>
  <c r="AM269"/>
  <c r="V269"/>
  <c r="AM268"/>
  <c r="V268"/>
  <c r="AM267"/>
  <c r="V267"/>
  <c r="AM266"/>
  <c r="V266"/>
  <c r="AM265"/>
  <c r="V265"/>
  <c r="AM264"/>
  <c r="V264"/>
  <c r="AM263"/>
  <c r="V263"/>
  <c r="AM262"/>
  <c r="V262"/>
  <c r="AM261"/>
  <c r="V261"/>
  <c r="AM260"/>
  <c r="V260"/>
  <c r="AM259"/>
  <c r="V259"/>
  <c r="AM258"/>
  <c r="V258"/>
  <c r="AM257"/>
  <c r="V257"/>
  <c r="AM256"/>
  <c r="V256"/>
  <c r="AM255"/>
  <c r="V255"/>
  <c r="AM254"/>
  <c r="V254"/>
  <c r="AM253"/>
  <c r="V253"/>
  <c r="AM252"/>
  <c r="V252"/>
  <c r="AM251"/>
  <c r="V251"/>
  <c r="AM250"/>
  <c r="V250"/>
  <c r="AM249"/>
  <c r="V249"/>
  <c r="AM248"/>
  <c r="V248"/>
  <c r="AM247"/>
  <c r="V247"/>
  <c r="AM246"/>
  <c r="V246"/>
  <c r="AM245"/>
  <c r="V245"/>
  <c r="AM244"/>
  <c r="V244"/>
  <c r="AM243"/>
  <c r="V243"/>
  <c r="AM242"/>
  <c r="V242"/>
  <c r="AM241"/>
  <c r="V241"/>
  <c r="AM240"/>
  <c r="V240"/>
  <c r="AM239"/>
  <c r="V239"/>
  <c r="AM238"/>
  <c r="V238"/>
  <c r="AM237"/>
  <c r="V237"/>
  <c r="AM236"/>
  <c r="V236"/>
  <c r="AM235"/>
  <c r="V235"/>
  <c r="AM234"/>
  <c r="V234"/>
  <c r="AM233"/>
  <c r="V233"/>
  <c r="AM232"/>
  <c r="V232"/>
  <c r="AM231"/>
  <c r="V231"/>
  <c r="AM230"/>
  <c r="V230"/>
  <c r="AM229"/>
  <c r="V229"/>
  <c r="AM228"/>
  <c r="V228"/>
  <c r="AM227"/>
  <c r="V227"/>
  <c r="AM226"/>
  <c r="V226"/>
  <c r="AM225"/>
  <c r="V225"/>
  <c r="AM224"/>
  <c r="V224"/>
  <c r="AM223"/>
  <c r="V223"/>
  <c r="AM222"/>
  <c r="V222"/>
  <c r="AM221"/>
  <c r="V221"/>
  <c r="AM220"/>
  <c r="V220"/>
  <c r="AM219"/>
  <c r="V219"/>
  <c r="AM218"/>
  <c r="V218"/>
  <c r="AM217"/>
  <c r="V217"/>
  <c r="AM216"/>
  <c r="V216"/>
  <c r="AM215"/>
  <c r="V215"/>
  <c r="AM214"/>
  <c r="V214"/>
  <c r="AM213"/>
  <c r="V213"/>
  <c r="AM212"/>
  <c r="V212"/>
  <c r="AM211"/>
  <c r="V211"/>
  <c r="AM210"/>
  <c r="V210"/>
  <c r="AM209"/>
  <c r="V209"/>
  <c r="AM208"/>
  <c r="V208"/>
  <c r="AM207"/>
  <c r="V207"/>
  <c r="AM206"/>
  <c r="V206"/>
  <c r="AM205"/>
  <c r="V205"/>
  <c r="AM204"/>
  <c r="V204"/>
  <c r="AM203"/>
  <c r="V203"/>
  <c r="AM202"/>
  <c r="V202"/>
  <c r="AM201"/>
  <c r="V201"/>
  <c r="AM200"/>
  <c r="V200"/>
  <c r="AM199"/>
  <c r="V199"/>
  <c r="AM198"/>
  <c r="V198"/>
  <c r="AM197"/>
  <c r="V197"/>
  <c r="AM196"/>
  <c r="V196"/>
  <c r="AM195"/>
  <c r="V195"/>
  <c r="AM194"/>
  <c r="V194"/>
  <c r="AM193"/>
  <c r="V193"/>
  <c r="AM192"/>
  <c r="V192"/>
  <c r="AM191"/>
  <c r="V191"/>
  <c r="AM190"/>
  <c r="V190"/>
  <c r="AM189"/>
  <c r="V189"/>
  <c r="AM188"/>
  <c r="V188"/>
  <c r="AM187"/>
  <c r="V187"/>
  <c r="AM186"/>
  <c r="V186"/>
  <c r="AM185"/>
  <c r="V185"/>
  <c r="AM184"/>
  <c r="V184"/>
  <c r="AM183"/>
  <c r="V183"/>
  <c r="AM182"/>
  <c r="V182"/>
  <c r="AM181"/>
  <c r="V181"/>
  <c r="AM180"/>
  <c r="V180"/>
  <c r="AM179"/>
  <c r="V179"/>
  <c r="AM178"/>
  <c r="V178"/>
  <c r="AM177"/>
  <c r="V177"/>
  <c r="AM176"/>
  <c r="V176"/>
  <c r="AM175"/>
  <c r="V175"/>
  <c r="AM174"/>
  <c r="V174"/>
  <c r="AM173"/>
  <c r="V173"/>
  <c r="AM172"/>
  <c r="V172"/>
  <c r="AM171"/>
  <c r="V171"/>
  <c r="AM170"/>
  <c r="V170"/>
  <c r="AM169"/>
  <c r="V169"/>
  <c r="AM168"/>
  <c r="V168"/>
  <c r="AM167"/>
  <c r="V167"/>
  <c r="AM166"/>
  <c r="V166"/>
  <c r="AM165"/>
  <c r="V165"/>
  <c r="AM164"/>
  <c r="V164"/>
  <c r="AM163"/>
  <c r="V163"/>
  <c r="AM162"/>
  <c r="V162"/>
  <c r="AM161"/>
  <c r="V161"/>
  <c r="AM160"/>
  <c r="V160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21"/>
  <c r="V120"/>
  <c r="V119"/>
  <c r="V118"/>
  <c r="V117"/>
  <c r="V116"/>
  <c r="V115"/>
  <c r="V114"/>
  <c r="V113"/>
  <c r="V112"/>
  <c r="V111"/>
  <c r="V110"/>
  <c r="V109"/>
  <c r="V108"/>
  <c r="V107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AM87"/>
  <c r="V87"/>
  <c r="AM86"/>
  <c r="V86"/>
  <c r="AM85"/>
  <c r="V85"/>
  <c r="AM84"/>
  <c r="V84"/>
  <c r="AM83"/>
  <c r="V83"/>
  <c r="AM82"/>
  <c r="V82"/>
  <c r="AM81"/>
  <c r="V81"/>
  <c r="AM80"/>
  <c r="V80"/>
  <c r="AM79"/>
  <c r="V79"/>
  <c r="AM78"/>
  <c r="V78"/>
  <c r="AM77"/>
  <c r="V77"/>
  <c r="AM76"/>
  <c r="V76"/>
  <c r="V75"/>
  <c r="V74"/>
  <c r="V73"/>
  <c r="V72"/>
  <c r="V71"/>
  <c r="V70"/>
  <c r="AM69"/>
  <c r="V69"/>
  <c r="AM68"/>
  <c r="V68"/>
  <c r="AM67"/>
  <c r="V67"/>
  <c r="AM66"/>
  <c r="V66"/>
  <c r="AM65"/>
  <c r="V65"/>
  <c r="AM64"/>
  <c r="V64"/>
  <c r="AM63"/>
  <c r="V63"/>
  <c r="AM62"/>
  <c r="V62"/>
  <c r="AM61"/>
  <c r="V61"/>
  <c r="AM60"/>
  <c r="V60"/>
  <c r="AM59"/>
  <c r="V59"/>
  <c r="AM58"/>
  <c r="V58"/>
  <c r="AM57"/>
  <c r="V57"/>
  <c r="AM56"/>
  <c r="V56"/>
  <c r="AM55"/>
  <c r="V55"/>
  <c r="AM54"/>
  <c r="V54"/>
  <c r="AM53"/>
  <c r="V53"/>
  <c r="AM52"/>
  <c r="V52"/>
  <c r="AM51"/>
  <c r="V51"/>
  <c r="AM50"/>
  <c r="V50"/>
  <c r="AM49"/>
  <c r="V49"/>
  <c r="AM48"/>
  <c r="V48"/>
  <c r="AM47"/>
  <c r="V47"/>
  <c r="AM46"/>
  <c r="V46"/>
  <c r="AM45"/>
  <c r="V45"/>
  <c r="AM44"/>
  <c r="V44"/>
  <c r="AM43"/>
  <c r="V43"/>
  <c r="AM42"/>
  <c r="V42"/>
  <c r="AM41"/>
  <c r="V41"/>
  <c r="AM40"/>
  <c r="V40"/>
  <c r="AM39"/>
  <c r="V39"/>
  <c r="AM38"/>
  <c r="V38"/>
  <c r="AM37"/>
  <c r="V37"/>
  <c r="AM36"/>
  <c r="V36"/>
  <c r="AM35"/>
  <c r="V35"/>
  <c r="AM34"/>
  <c r="V34"/>
  <c r="AM33"/>
  <c r="V33"/>
  <c r="AM32"/>
  <c r="V32"/>
  <c r="AM31"/>
  <c r="V31"/>
  <c r="AM30"/>
  <c r="V30"/>
  <c r="AM29"/>
  <c r="V29"/>
  <c r="AM28"/>
  <c r="V28"/>
  <c r="AM27"/>
  <c r="V27"/>
  <c r="AM26"/>
  <c r="V26"/>
  <c r="AM25"/>
  <c r="V25"/>
  <c r="AM24"/>
  <c r="V24"/>
  <c r="AM23"/>
  <c r="V23"/>
  <c r="AM22"/>
  <c r="V22"/>
  <c r="AM21"/>
  <c r="V21"/>
  <c r="AM20"/>
  <c r="V20"/>
  <c r="AM19"/>
  <c r="V19"/>
  <c r="AM18"/>
  <c r="V18"/>
  <c r="AM17"/>
  <c r="V17"/>
  <c r="AM16"/>
  <c r="V16"/>
  <c r="AM15"/>
  <c r="V15"/>
  <c r="AM14"/>
  <c r="V14"/>
  <c r="AM13"/>
  <c r="V13"/>
  <c r="AM12"/>
  <c r="V12"/>
  <c r="AM11"/>
  <c r="V11"/>
  <c r="AM10"/>
  <c r="V10"/>
  <c r="AM9"/>
  <c r="V9"/>
  <c r="AM8"/>
  <c r="V8"/>
  <c r="AM7"/>
  <c r="V7"/>
  <c r="AM6"/>
  <c r="V6"/>
  <c r="AM5"/>
  <c r="V5"/>
  <c r="AM4"/>
  <c r="V4"/>
  <c r="AM3"/>
</calcChain>
</file>

<file path=xl/sharedStrings.xml><?xml version="1.0" encoding="utf-8"?>
<sst xmlns="http://schemas.openxmlformats.org/spreadsheetml/2006/main" count="10791" uniqueCount="113">
  <si>
    <t>ID</t>
  </si>
  <si>
    <t>Hybrid cooler</t>
  </si>
  <si>
    <t>Dry cooler</t>
  </si>
  <si>
    <t>refrigerated fluid</t>
  </si>
  <si>
    <t>Refrigerated fluid rated temperature difference                      Tin-Tout °C</t>
  </si>
  <si>
    <t>Rated air volume flow rate              m3/h</t>
  </si>
  <si>
    <t>Rated water consumption                l/h</t>
  </si>
  <si>
    <t>1 phase 230V/50Hz EC</t>
  </si>
  <si>
    <t>cooler cost        euros or dollars  (specify)</t>
  </si>
  <si>
    <t>glycol (35%) - water</t>
  </si>
  <si>
    <t xml:space="preserve">3 phase 400V/50Hz </t>
  </si>
  <si>
    <t>Number of fan rows</t>
  </si>
  <si>
    <t>Max electric power            kW</t>
  </si>
  <si>
    <t>Water</t>
  </si>
  <si>
    <t>R404A</t>
  </si>
  <si>
    <t>1 phase 4 poli</t>
  </si>
  <si>
    <t>3 phase 4 poli</t>
  </si>
  <si>
    <t>glycol (34 %) - water</t>
  </si>
  <si>
    <t>1 phase 230V/50 Hz</t>
  </si>
  <si>
    <t>870 (650 3 phase)</t>
  </si>
  <si>
    <t>1 phase - 3 phase</t>
  </si>
  <si>
    <t>3 phase 400V/50Hz 6 poli  EC</t>
  </si>
  <si>
    <t>3 phase 400V/50Hz 8 poli  EC</t>
  </si>
  <si>
    <r>
      <t xml:space="preserve">3 phase 230 </t>
    </r>
    <r>
      <rPr>
        <sz val="11"/>
        <color theme="1"/>
        <rFont val="Calibri"/>
        <family val="2"/>
      </rPr>
      <t>±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</rPr>
      <t>10% V/50</t>
    </r>
  </si>
  <si>
    <r>
      <t xml:space="preserve">3 phase 230 </t>
    </r>
    <r>
      <rPr>
        <sz val="11"/>
        <color theme="1"/>
        <rFont val="Calibri"/>
        <family val="2"/>
      </rPr>
      <t>±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</rPr>
      <t>10% V/50 or  3 phase 400V/50 Hz</t>
    </r>
  </si>
  <si>
    <t>570 - 630</t>
  </si>
  <si>
    <t xml:space="preserve">100 - 168 </t>
  </si>
  <si>
    <r>
      <t xml:space="preserve">76 </t>
    </r>
    <r>
      <rPr>
        <sz val="11"/>
        <color theme="1"/>
        <rFont val="Calibri"/>
        <family val="2"/>
      </rPr>
      <t>÷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90</t>
    </r>
  </si>
  <si>
    <t>Grid connection and control</t>
  </si>
  <si>
    <t>Costs</t>
  </si>
  <si>
    <t>Performance characteristics</t>
  </si>
  <si>
    <t>Fans´ characteristics</t>
  </si>
  <si>
    <t>Dry coolers sizes</t>
  </si>
  <si>
    <t>L</t>
  </si>
  <si>
    <t>W</t>
  </si>
  <si>
    <t>H</t>
  </si>
  <si>
    <t>height</t>
  </si>
  <si>
    <t>lenght</t>
  </si>
  <si>
    <t>width</t>
  </si>
  <si>
    <t>Noise level                     dBA 10m</t>
  </si>
  <si>
    <t>Wet cooling towers sizes</t>
  </si>
  <si>
    <t>A</t>
  </si>
  <si>
    <t>Height</t>
  </si>
  <si>
    <t>B</t>
  </si>
  <si>
    <t>C</t>
  </si>
  <si>
    <t>Width</t>
  </si>
  <si>
    <t>Depth</t>
  </si>
  <si>
    <t>3 phase 230 V/50 Hz or 3N 400V/50 Hz 4 poli</t>
  </si>
  <si>
    <t>_</t>
  </si>
  <si>
    <t>63 (at 1,5 m)</t>
  </si>
  <si>
    <t>3 phase 400V/50Hz  or 1 phase</t>
  </si>
  <si>
    <r>
      <t xml:space="preserve">50 </t>
    </r>
    <r>
      <rPr>
        <sz val="11"/>
        <color theme="1"/>
        <rFont val="Calibri"/>
        <family val="2"/>
      </rPr>
      <t>÷</t>
    </r>
    <r>
      <rPr>
        <sz val="8.8000000000000007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67</t>
    </r>
  </si>
  <si>
    <t>Water or glycol (40%)-water</t>
  </si>
  <si>
    <t>glycol (35%) - Water</t>
  </si>
  <si>
    <t>Fluid -air rated temperature difference          Tout-Tamb °C</t>
  </si>
  <si>
    <t>Glycol (40%) - water</t>
  </si>
  <si>
    <t>3 phase 230/400V - 50Hz - 4 poli</t>
  </si>
  <si>
    <t>Refrigerated fluid rated volume flow rate m3/h</t>
  </si>
  <si>
    <t>63 (at 2 m)</t>
  </si>
  <si>
    <t>67 (at 2 m)</t>
  </si>
  <si>
    <t>68 (at 2 m)</t>
  </si>
  <si>
    <t>71 (at 2 m)</t>
  </si>
  <si>
    <t>72 (at 2 m)</t>
  </si>
  <si>
    <t>73 (at 2 m)</t>
  </si>
  <si>
    <t>74 (at 2 m)</t>
  </si>
  <si>
    <t>75 (at 2 m)</t>
  </si>
  <si>
    <t>80 (at 2 m)</t>
  </si>
  <si>
    <t>Aluminium</t>
  </si>
  <si>
    <t>X</t>
  </si>
  <si>
    <t>Operating weight             [kg]</t>
  </si>
  <si>
    <t>Rated cooling power                     [ kW]</t>
  </si>
  <si>
    <t>Pressure drop               [ kPa]</t>
  </si>
  <si>
    <t>Copper</t>
  </si>
  <si>
    <t>Stainless steel</t>
  </si>
  <si>
    <t>Epoxy</t>
  </si>
  <si>
    <t>Other</t>
  </si>
  <si>
    <t>AlMg</t>
  </si>
  <si>
    <t>Fans number</t>
  </si>
  <si>
    <t>Diameter</t>
  </si>
  <si>
    <t>Y</t>
  </si>
  <si>
    <t>Δ</t>
  </si>
  <si>
    <t>Wiring</t>
  </si>
  <si>
    <t>EC controller</t>
  </si>
  <si>
    <t>Total cost</t>
  </si>
  <si>
    <t>3 phase 400V/50Hz 6P</t>
  </si>
  <si>
    <t>3 phase 400V/50Hz 4P</t>
  </si>
  <si>
    <t>1 phase 110/220 60 Hz</t>
  </si>
  <si>
    <t>3 phase 220/440 60 Hz</t>
  </si>
  <si>
    <t>1 phase 110/220 60 Hz or 3 phase 220/440 60 Hz</t>
  </si>
  <si>
    <t>57 (at 2 m)</t>
  </si>
  <si>
    <t>58 (at 2 m)</t>
  </si>
  <si>
    <t>61 (at 2 m)</t>
  </si>
  <si>
    <t>62 (at 2 m)</t>
  </si>
  <si>
    <t>66 (at 2 m)</t>
  </si>
  <si>
    <t>76 (at 2 m)</t>
  </si>
  <si>
    <t>70 (at 2 m)</t>
  </si>
  <si>
    <t>1 phase 115/230 60 Hz</t>
  </si>
  <si>
    <t>1 phase 115/230 60 Hz or 3 phase 230/460</t>
  </si>
  <si>
    <t>3 phase 230/460 60 Hz</t>
  </si>
  <si>
    <t xml:space="preserve">3 phase 400V/50Hz  </t>
  </si>
  <si>
    <t>Water spray system</t>
  </si>
  <si>
    <t>Switch board + inverter</t>
  </si>
  <si>
    <t>Wet tower</t>
  </si>
  <si>
    <t>Spray system cost</t>
  </si>
  <si>
    <t>L (or D)</t>
  </si>
  <si>
    <t>glycol (20 %) - water</t>
  </si>
  <si>
    <t>1 phase 200/270 V</t>
  </si>
  <si>
    <t>2 phase 200/270 V</t>
  </si>
  <si>
    <r>
      <t>Tubes volume  (Di)     dm</t>
    </r>
    <r>
      <rPr>
        <vertAlign val="superscript"/>
        <sz val="11"/>
        <color theme="0"/>
        <rFont val="Calibri"/>
        <family val="2"/>
        <scheme val="minor"/>
      </rPr>
      <t>3</t>
    </r>
  </si>
  <si>
    <r>
      <t xml:space="preserve"> Surface           m</t>
    </r>
    <r>
      <rPr>
        <vertAlign val="superscript"/>
        <sz val="11"/>
        <color theme="0"/>
        <rFont val="Calibri"/>
        <family val="2"/>
        <scheme val="minor"/>
      </rPr>
      <t>2</t>
    </r>
  </si>
  <si>
    <t>56 (at 2 m)</t>
  </si>
  <si>
    <t xml:space="preserve">W                      </t>
  </si>
  <si>
    <t>Heat Exchanger type</t>
  </si>
</sst>
</file>

<file path=xl/styles.xml><?xml version="1.0" encoding="utf-8"?>
<styleSheet xmlns="http://schemas.openxmlformats.org/spreadsheetml/2006/main">
  <numFmts count="4">
    <numFmt numFmtId="164" formatCode="#,##0\ [$€-1];[Red]\-#,##0\ [$€-1]"/>
    <numFmt numFmtId="165" formatCode="#,##0\ &quot;€&quot;"/>
    <numFmt numFmtId="166" formatCode="0.0"/>
    <numFmt numFmtId="167" formatCode="#,##0.00\ _€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993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3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7" borderId="0" xfId="0" applyFill="1"/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1" fillId="2" borderId="1" xfId="1" applyBorder="1" applyAlignment="1">
      <alignment horizontal="center" textRotation="90" wrapText="1"/>
    </xf>
    <xf numFmtId="0" fontId="1" fillId="2" borderId="2" xfId="1" applyBorder="1" applyAlignment="1">
      <alignment horizontal="center" textRotation="90" wrapText="1"/>
    </xf>
    <xf numFmtId="0" fontId="1" fillId="2" borderId="8" xfId="1" applyBorder="1" applyAlignment="1">
      <alignment horizontal="center" textRotation="90"/>
    </xf>
    <xf numFmtId="0" fontId="1" fillId="2" borderId="6" xfId="1" applyBorder="1" applyAlignment="1">
      <alignment horizontal="center" textRotation="90" wrapText="1"/>
    </xf>
    <xf numFmtId="0" fontId="1" fillId="2" borderId="9" xfId="1" applyBorder="1" applyAlignment="1">
      <alignment horizontal="center" textRotation="90" wrapText="1"/>
    </xf>
    <xf numFmtId="0" fontId="5" fillId="2" borderId="9" xfId="1" applyFont="1" applyBorder="1" applyAlignment="1">
      <alignment horizontal="center" textRotation="90" wrapText="1"/>
    </xf>
    <xf numFmtId="0" fontId="1" fillId="2" borderId="1" xfId="1" applyBorder="1" applyAlignment="1">
      <alignment horizontal="center" textRotation="90"/>
    </xf>
    <xf numFmtId="0" fontId="0" fillId="7" borderId="0" xfId="0" applyFill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2" fillId="8" borderId="3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3" xfId="0" applyBorder="1" applyAlignment="1"/>
    <xf numFmtId="0" fontId="2" fillId="5" borderId="3" xfId="0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Medium9"/>
  <colors>
    <mruColors>
      <color rgb="FFFF99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563880</xdr:colOff>
      <xdr:row>1</xdr:row>
      <xdr:rowOff>152400</xdr:rowOff>
    </xdr:from>
    <xdr:to>
      <xdr:col>9</xdr:col>
      <xdr:colOff>68580</xdr:colOff>
      <xdr:row>9</xdr:row>
      <xdr:rowOff>53340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63880" y="335280"/>
          <a:ext cx="4991100" cy="1363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15</xdr:row>
      <xdr:rowOff>83820</xdr:rowOff>
    </xdr:from>
    <xdr:to>
      <xdr:col>6</xdr:col>
      <xdr:colOff>441960</xdr:colOff>
      <xdr:row>42</xdr:row>
      <xdr:rowOff>91440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820" y="2827020"/>
          <a:ext cx="4015740" cy="494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22</xdr:col>
      <xdr:colOff>114300</xdr:colOff>
      <xdr:row>30</xdr:row>
      <xdr:rowOff>106680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315200" y="2926080"/>
          <a:ext cx="621030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D47" sqref="D47"/>
    </sheetView>
  </sheetViews>
  <sheetFormatPr baseColWidth="10" defaultColWidth="9.140625" defaultRowHeight="15"/>
  <sheetData>
    <row r="1" spans="1:12">
      <c r="A1" s="7" t="s">
        <v>32</v>
      </c>
    </row>
    <row r="3" spans="1:12">
      <c r="K3" s="7" t="s">
        <v>33</v>
      </c>
      <c r="L3" t="s">
        <v>37</v>
      </c>
    </row>
    <row r="4" spans="1:12">
      <c r="K4" s="7" t="s">
        <v>34</v>
      </c>
      <c r="L4" t="s">
        <v>38</v>
      </c>
    </row>
    <row r="5" spans="1:12">
      <c r="K5" s="7" t="s">
        <v>35</v>
      </c>
      <c r="L5" t="s">
        <v>36</v>
      </c>
    </row>
    <row r="15" spans="1:12">
      <c r="A15" s="7" t="s">
        <v>40</v>
      </c>
    </row>
    <row r="17" spans="9:11">
      <c r="I17" s="7" t="s">
        <v>41</v>
      </c>
      <c r="J17" t="s">
        <v>42</v>
      </c>
      <c r="K17" t="s">
        <v>35</v>
      </c>
    </row>
    <row r="18" spans="9:11">
      <c r="I18" s="7" t="s">
        <v>43</v>
      </c>
      <c r="J18" t="s">
        <v>45</v>
      </c>
      <c r="K18" t="s">
        <v>34</v>
      </c>
    </row>
    <row r="19" spans="9:11">
      <c r="I19" s="7" t="s">
        <v>44</v>
      </c>
      <c r="J19" t="s">
        <v>46</v>
      </c>
      <c r="K19" t="s">
        <v>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F1559"/>
  <sheetViews>
    <sheetView tabSelected="1" zoomScale="80" zoomScaleNormal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9.140625" defaultRowHeight="15"/>
  <cols>
    <col min="1" max="1" width="5.5703125" style="6" bestFit="1" customWidth="1"/>
    <col min="2" max="2" width="3.85546875" style="4" customWidth="1"/>
    <col min="3" max="3" width="3.85546875" style="4" bestFit="1" customWidth="1"/>
    <col min="4" max="4" width="4.5703125" style="4" bestFit="1" customWidth="1"/>
    <col min="5" max="5" width="9.85546875" style="4" bestFit="1" customWidth="1"/>
    <col min="6" max="6" width="7.7109375" style="4" bestFit="1" customWidth="1"/>
    <col min="7" max="7" width="9.85546875" style="4" bestFit="1" customWidth="1"/>
    <col min="8" max="8" width="9.42578125" style="4" bestFit="1" customWidth="1"/>
    <col min="9" max="9" width="28.42578125" style="4" bestFit="1" customWidth="1"/>
    <col min="10" max="10" width="8.7109375" style="4" bestFit="1" customWidth="1"/>
    <col min="11" max="11" width="9.5703125" style="4" bestFit="1" customWidth="1"/>
    <col min="12" max="12" width="10" style="4" bestFit="1" customWidth="1"/>
    <col min="13" max="13" width="9.5703125" style="4" bestFit="1" customWidth="1"/>
    <col min="14" max="14" width="7.7109375" style="4" bestFit="1" customWidth="1"/>
    <col min="15" max="15" width="10.85546875" style="4" bestFit="1" customWidth="1"/>
    <col min="16" max="16" width="6.7109375" style="4" bestFit="1" customWidth="1"/>
    <col min="17" max="18" width="3.85546875" style="4" bestFit="1" customWidth="1"/>
    <col min="19" max="19" width="9.85546875" style="4" bestFit="1" customWidth="1"/>
    <col min="20" max="20" width="5.5703125" style="4" bestFit="1" customWidth="1"/>
    <col min="21" max="21" width="18" style="4" bestFit="1" customWidth="1"/>
    <col min="22" max="22" width="8.7109375" style="4" bestFit="1" customWidth="1"/>
    <col min="23" max="23" width="47.85546875" style="4" bestFit="1" customWidth="1"/>
    <col min="24" max="24" width="12.85546875" style="4" bestFit="1" customWidth="1"/>
    <col min="25" max="25" width="8.7109375" style="4" bestFit="1" customWidth="1"/>
    <col min="26" max="26" width="7.42578125" style="4" bestFit="1" customWidth="1"/>
    <col min="27" max="29" width="3.85546875" style="4" bestFit="1" customWidth="1"/>
    <col min="30" max="30" width="6" style="4" bestFit="1" customWidth="1"/>
    <col min="31" max="33" width="3.85546875" style="4" bestFit="1" customWidth="1"/>
    <col min="34" max="34" width="8.7109375" style="4" bestFit="1" customWidth="1"/>
    <col min="35" max="38" width="3.85546875" style="4" bestFit="1" customWidth="1"/>
    <col min="39" max="39" width="8.7109375" style="4" bestFit="1" customWidth="1"/>
    <col min="40" max="40" width="7.7109375" style="4" bestFit="1" customWidth="1"/>
    <col min="41" max="16384" width="9.140625" style="4"/>
  </cols>
  <sheetData>
    <row r="1" spans="1:240" ht="30" customHeight="1">
      <c r="A1" s="29"/>
      <c r="B1" s="44"/>
      <c r="C1" s="44"/>
      <c r="D1" s="44"/>
      <c r="E1" s="44"/>
      <c r="F1" s="44"/>
      <c r="G1" s="44"/>
      <c r="H1" s="45"/>
      <c r="I1" s="47" t="s">
        <v>30</v>
      </c>
      <c r="J1" s="47"/>
      <c r="K1" s="47"/>
      <c r="L1" s="47"/>
      <c r="M1" s="47"/>
      <c r="N1" s="47"/>
      <c r="O1" s="47"/>
      <c r="P1" s="47"/>
      <c r="Q1" s="48" t="s">
        <v>31</v>
      </c>
      <c r="R1" s="49"/>
      <c r="S1" s="50"/>
      <c r="T1" s="50"/>
      <c r="U1" s="50"/>
      <c r="V1" s="50"/>
      <c r="W1" s="51"/>
      <c r="X1" s="51"/>
      <c r="Y1" s="52" t="s">
        <v>112</v>
      </c>
      <c r="Z1" s="51"/>
      <c r="AA1" s="51"/>
      <c r="AB1" s="51"/>
      <c r="AC1" s="51"/>
      <c r="AD1" s="51"/>
      <c r="AE1" s="51"/>
      <c r="AF1" s="51"/>
      <c r="AG1" s="51"/>
      <c r="AH1" s="46" t="s">
        <v>29</v>
      </c>
      <c r="AI1" s="46"/>
      <c r="AJ1" s="46"/>
      <c r="AK1" s="46"/>
      <c r="AL1" s="46"/>
      <c r="AM1" s="46"/>
      <c r="AN1" s="46"/>
    </row>
    <row r="2" spans="1:240" s="43" customFormat="1" ht="152.25" customHeight="1">
      <c r="A2" s="36" t="s">
        <v>0</v>
      </c>
      <c r="B2" s="36" t="s">
        <v>2</v>
      </c>
      <c r="C2" s="36" t="s">
        <v>1</v>
      </c>
      <c r="D2" s="37" t="s">
        <v>102</v>
      </c>
      <c r="E2" s="35" t="s">
        <v>104</v>
      </c>
      <c r="F2" s="35" t="s">
        <v>111</v>
      </c>
      <c r="G2" s="35" t="s">
        <v>35</v>
      </c>
      <c r="H2" s="38" t="s">
        <v>69</v>
      </c>
      <c r="I2" s="36" t="s">
        <v>3</v>
      </c>
      <c r="J2" s="36" t="s">
        <v>57</v>
      </c>
      <c r="K2" s="36" t="s">
        <v>4</v>
      </c>
      <c r="L2" s="36" t="s">
        <v>70</v>
      </c>
      <c r="M2" s="36" t="s">
        <v>54</v>
      </c>
      <c r="N2" s="36" t="s">
        <v>71</v>
      </c>
      <c r="O2" s="36" t="s">
        <v>5</v>
      </c>
      <c r="P2" s="36" t="s">
        <v>6</v>
      </c>
      <c r="Q2" s="39" t="s">
        <v>11</v>
      </c>
      <c r="R2" s="39" t="s">
        <v>77</v>
      </c>
      <c r="S2" s="39" t="s">
        <v>78</v>
      </c>
      <c r="T2" s="39" t="s">
        <v>79</v>
      </c>
      <c r="U2" s="40" t="s">
        <v>80</v>
      </c>
      <c r="V2" s="39" t="s">
        <v>12</v>
      </c>
      <c r="W2" s="36" t="s">
        <v>28</v>
      </c>
      <c r="X2" s="35" t="s">
        <v>39</v>
      </c>
      <c r="Y2" s="36" t="s">
        <v>109</v>
      </c>
      <c r="Z2" s="36" t="s">
        <v>108</v>
      </c>
      <c r="AA2" s="36" t="s">
        <v>67</v>
      </c>
      <c r="AB2" s="36" t="s">
        <v>72</v>
      </c>
      <c r="AC2" s="36" t="s">
        <v>74</v>
      </c>
      <c r="AD2" s="36" t="s">
        <v>75</v>
      </c>
      <c r="AE2" s="36" t="s">
        <v>67</v>
      </c>
      <c r="AF2" s="36" t="s">
        <v>72</v>
      </c>
      <c r="AG2" s="36" t="s">
        <v>73</v>
      </c>
      <c r="AH2" s="35" t="s">
        <v>8</v>
      </c>
      <c r="AI2" s="35" t="s">
        <v>81</v>
      </c>
      <c r="AJ2" s="35" t="s">
        <v>82</v>
      </c>
      <c r="AK2" s="35" t="s">
        <v>100</v>
      </c>
      <c r="AL2" s="35" t="s">
        <v>101</v>
      </c>
      <c r="AM2" s="41" t="s">
        <v>83</v>
      </c>
      <c r="AN2" s="35" t="s">
        <v>103</v>
      </c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</row>
    <row r="3" spans="1:240" s="1" customFormat="1" ht="30" customHeight="1">
      <c r="A3" s="5">
        <v>1</v>
      </c>
      <c r="B3" s="5" t="s">
        <v>68</v>
      </c>
      <c r="C3" s="5"/>
      <c r="D3" s="5"/>
      <c r="E3" s="5">
        <v>880</v>
      </c>
      <c r="F3" s="5">
        <v>990</v>
      </c>
      <c r="G3" s="5">
        <v>980</v>
      </c>
      <c r="H3" s="5">
        <v>48</v>
      </c>
      <c r="I3" s="5" t="s">
        <v>9</v>
      </c>
      <c r="J3" s="5">
        <v>3.3</v>
      </c>
      <c r="K3" s="10">
        <v>5</v>
      </c>
      <c r="L3" s="11">
        <v>17.2</v>
      </c>
      <c r="M3" s="31">
        <v>10</v>
      </c>
      <c r="N3" s="5">
        <v>41</v>
      </c>
      <c r="O3" s="5">
        <v>7500</v>
      </c>
      <c r="P3" s="5" t="s">
        <v>48</v>
      </c>
      <c r="Q3" s="5">
        <v>1</v>
      </c>
      <c r="R3" s="5">
        <v>1</v>
      </c>
      <c r="S3" s="5">
        <v>500</v>
      </c>
      <c r="T3" s="5">
        <v>980</v>
      </c>
      <c r="U3" s="5">
        <v>1330</v>
      </c>
      <c r="V3" s="5">
        <v>0.79</v>
      </c>
      <c r="W3" s="5" t="s">
        <v>10</v>
      </c>
      <c r="X3" s="5">
        <v>51</v>
      </c>
      <c r="Y3" s="5">
        <v>27</v>
      </c>
      <c r="Z3" s="5">
        <v>5</v>
      </c>
      <c r="AA3" s="5" t="s">
        <v>68</v>
      </c>
      <c r="AB3" s="5" t="s">
        <v>68</v>
      </c>
      <c r="AC3" s="5" t="s">
        <v>68</v>
      </c>
      <c r="AD3" s="5"/>
      <c r="AE3" s="5"/>
      <c r="AF3" s="5" t="s">
        <v>68</v>
      </c>
      <c r="AG3" s="5" t="s">
        <v>68</v>
      </c>
      <c r="AH3" s="12">
        <v>1611</v>
      </c>
      <c r="AI3" s="12" t="s">
        <v>68</v>
      </c>
      <c r="AJ3" s="12" t="s">
        <v>68</v>
      </c>
      <c r="AK3" s="12"/>
      <c r="AL3" s="12"/>
      <c r="AM3" s="12">
        <f>AH3 + 1186</f>
        <v>2797</v>
      </c>
      <c r="AN3" s="12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</row>
    <row r="4" spans="1:240" s="1" customFormat="1" ht="30" customHeight="1">
      <c r="A4" s="5">
        <v>2</v>
      </c>
      <c r="B4" s="5" t="s">
        <v>68</v>
      </c>
      <c r="C4" s="5"/>
      <c r="D4" s="5"/>
      <c r="E4" s="5">
        <v>1660</v>
      </c>
      <c r="F4" s="5">
        <v>900</v>
      </c>
      <c r="G4" s="5">
        <v>980</v>
      </c>
      <c r="H4" s="5">
        <v>90</v>
      </c>
      <c r="I4" s="5" t="s">
        <v>9</v>
      </c>
      <c r="J4" s="5">
        <v>6.2</v>
      </c>
      <c r="K4" s="10">
        <v>5</v>
      </c>
      <c r="L4" s="11">
        <v>32.4</v>
      </c>
      <c r="M4" s="31">
        <v>10</v>
      </c>
      <c r="N4" s="5">
        <v>15</v>
      </c>
      <c r="O4" s="5">
        <v>15000</v>
      </c>
      <c r="P4" s="5" t="s">
        <v>48</v>
      </c>
      <c r="Q4" s="5">
        <v>1</v>
      </c>
      <c r="R4" s="5">
        <v>2</v>
      </c>
      <c r="S4" s="5">
        <v>500</v>
      </c>
      <c r="T4" s="5">
        <v>980</v>
      </c>
      <c r="U4" s="5">
        <v>1330</v>
      </c>
      <c r="V4" s="5">
        <f>0.79*R4</f>
        <v>1.58</v>
      </c>
      <c r="W4" s="5" t="s">
        <v>10</v>
      </c>
      <c r="X4" s="5">
        <v>54</v>
      </c>
      <c r="Y4" s="5">
        <v>54</v>
      </c>
      <c r="Z4" s="5">
        <v>11</v>
      </c>
      <c r="AA4" s="5" t="s">
        <v>68</v>
      </c>
      <c r="AB4" s="5" t="s">
        <v>68</v>
      </c>
      <c r="AC4" s="5" t="s">
        <v>68</v>
      </c>
      <c r="AD4" s="5"/>
      <c r="AE4" s="5"/>
      <c r="AF4" s="5" t="s">
        <v>68</v>
      </c>
      <c r="AG4" s="5" t="s">
        <v>68</v>
      </c>
      <c r="AH4" s="12">
        <v>2258</v>
      </c>
      <c r="AI4" s="12" t="s">
        <v>68</v>
      </c>
      <c r="AJ4" s="12" t="s">
        <v>68</v>
      </c>
      <c r="AK4" s="12"/>
      <c r="AL4" s="12"/>
      <c r="AM4" s="12">
        <f>AH4+1389</f>
        <v>3647</v>
      </c>
      <c r="AN4" s="12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</row>
    <row r="5" spans="1:240" s="1" customFormat="1" ht="30" customHeight="1">
      <c r="A5" s="5">
        <v>3</v>
      </c>
      <c r="B5" s="5" t="s">
        <v>68</v>
      </c>
      <c r="C5" s="5"/>
      <c r="D5" s="5"/>
      <c r="E5" s="5">
        <v>880</v>
      </c>
      <c r="F5" s="5">
        <v>900</v>
      </c>
      <c r="G5" s="5">
        <v>980</v>
      </c>
      <c r="H5" s="5">
        <v>106</v>
      </c>
      <c r="I5" s="5" t="s">
        <v>9</v>
      </c>
      <c r="J5" s="5">
        <v>8.9</v>
      </c>
      <c r="K5" s="10">
        <v>5</v>
      </c>
      <c r="L5" s="11">
        <v>46.4</v>
      </c>
      <c r="M5" s="31">
        <v>10</v>
      </c>
      <c r="N5" s="5">
        <v>28</v>
      </c>
      <c r="O5" s="5">
        <v>13000</v>
      </c>
      <c r="P5" s="5" t="s">
        <v>48</v>
      </c>
      <c r="Q5" s="5">
        <v>1</v>
      </c>
      <c r="R5" s="5">
        <v>2</v>
      </c>
      <c r="S5" s="5">
        <v>500</v>
      </c>
      <c r="T5" s="5">
        <v>980</v>
      </c>
      <c r="U5" s="5">
        <v>1330</v>
      </c>
      <c r="V5" s="5">
        <f>0.79*R5</f>
        <v>1.58</v>
      </c>
      <c r="W5" s="5" t="s">
        <v>10</v>
      </c>
      <c r="X5" s="5">
        <v>54</v>
      </c>
      <c r="Y5" s="5">
        <v>108</v>
      </c>
      <c r="Z5" s="5">
        <v>22</v>
      </c>
      <c r="AA5" s="5" t="s">
        <v>68</v>
      </c>
      <c r="AB5" s="5" t="s">
        <v>68</v>
      </c>
      <c r="AC5" s="5" t="s">
        <v>68</v>
      </c>
      <c r="AD5" s="5"/>
      <c r="AE5" s="5"/>
      <c r="AF5" s="5" t="s">
        <v>68</v>
      </c>
      <c r="AG5" s="5" t="s">
        <v>68</v>
      </c>
      <c r="AH5" s="12">
        <v>2682</v>
      </c>
      <c r="AI5" s="12" t="s">
        <v>68</v>
      </c>
      <c r="AJ5" s="12" t="s">
        <v>68</v>
      </c>
      <c r="AK5" s="12"/>
      <c r="AL5" s="12"/>
      <c r="AM5" s="12">
        <f>AH5+1389</f>
        <v>4071</v>
      </c>
      <c r="AN5" s="12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</row>
    <row r="6" spans="1:240" s="1" customFormat="1" ht="30" customHeight="1">
      <c r="A6" s="5">
        <v>4</v>
      </c>
      <c r="B6" s="5" t="s">
        <v>68</v>
      </c>
      <c r="C6" s="5"/>
      <c r="D6" s="5"/>
      <c r="E6" s="5">
        <v>1240</v>
      </c>
      <c r="F6" s="5">
        <v>1260</v>
      </c>
      <c r="G6" s="5">
        <v>980</v>
      </c>
      <c r="H6" s="5">
        <v>79</v>
      </c>
      <c r="I6" s="5" t="s">
        <v>9</v>
      </c>
      <c r="J6" s="5">
        <v>6.7</v>
      </c>
      <c r="K6" s="10">
        <v>5</v>
      </c>
      <c r="L6" s="11">
        <v>35.200000000000003</v>
      </c>
      <c r="M6" s="31">
        <v>10</v>
      </c>
      <c r="N6" s="5">
        <v>20</v>
      </c>
      <c r="O6" s="5">
        <v>16000</v>
      </c>
      <c r="P6" s="5" t="s">
        <v>48</v>
      </c>
      <c r="Q6" s="5">
        <v>1</v>
      </c>
      <c r="R6" s="5">
        <v>1</v>
      </c>
      <c r="S6" s="5">
        <v>630</v>
      </c>
      <c r="T6" s="5">
        <v>1070</v>
      </c>
      <c r="U6" s="5">
        <v>1340</v>
      </c>
      <c r="V6" s="5">
        <f>1.9*R6</f>
        <v>1.9</v>
      </c>
      <c r="W6" s="5" t="s">
        <v>10</v>
      </c>
      <c r="X6" s="5">
        <v>58</v>
      </c>
      <c r="Y6" s="5">
        <v>58</v>
      </c>
      <c r="Z6" s="5">
        <v>12</v>
      </c>
      <c r="AA6" s="5" t="s">
        <v>68</v>
      </c>
      <c r="AB6" s="5" t="s">
        <v>68</v>
      </c>
      <c r="AC6" s="5" t="s">
        <v>68</v>
      </c>
      <c r="AD6" s="5"/>
      <c r="AE6" s="5"/>
      <c r="AF6" s="5" t="s">
        <v>68</v>
      </c>
      <c r="AG6" s="5" t="s">
        <v>68</v>
      </c>
      <c r="AH6" s="12">
        <v>2268</v>
      </c>
      <c r="AI6" s="12" t="s">
        <v>68</v>
      </c>
      <c r="AJ6" s="12" t="s">
        <v>68</v>
      </c>
      <c r="AK6" s="12"/>
      <c r="AL6" s="12"/>
      <c r="AM6" s="12">
        <f>AH6+1186</f>
        <v>3454</v>
      </c>
      <c r="AN6" s="12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</row>
    <row r="7" spans="1:240" s="1" customFormat="1" ht="30" customHeight="1">
      <c r="A7" s="5">
        <v>5</v>
      </c>
      <c r="B7" s="5" t="s">
        <v>68</v>
      </c>
      <c r="C7" s="5"/>
      <c r="D7" s="5"/>
      <c r="E7" s="5">
        <v>2380</v>
      </c>
      <c r="F7" s="5">
        <v>1260</v>
      </c>
      <c r="G7" s="5">
        <v>980</v>
      </c>
      <c r="H7" s="5">
        <v>151</v>
      </c>
      <c r="I7" s="5" t="s">
        <v>9</v>
      </c>
      <c r="J7" s="5">
        <v>14.2</v>
      </c>
      <c r="K7" s="10">
        <v>5</v>
      </c>
      <c r="L7" s="11">
        <v>74.599999999999994</v>
      </c>
      <c r="M7" s="31">
        <v>10</v>
      </c>
      <c r="N7" s="5">
        <v>48</v>
      </c>
      <c r="O7" s="5">
        <v>32000</v>
      </c>
      <c r="P7" s="5" t="s">
        <v>48</v>
      </c>
      <c r="Q7" s="5">
        <v>1</v>
      </c>
      <c r="R7" s="5">
        <v>2</v>
      </c>
      <c r="S7" s="5">
        <v>630</v>
      </c>
      <c r="T7" s="5">
        <v>1070</v>
      </c>
      <c r="U7" s="5">
        <v>1340</v>
      </c>
      <c r="V7" s="5">
        <f>1.9*R7</f>
        <v>3.8</v>
      </c>
      <c r="W7" s="5" t="s">
        <v>10</v>
      </c>
      <c r="X7" s="5">
        <v>60</v>
      </c>
      <c r="Y7" s="5">
        <v>115</v>
      </c>
      <c r="Z7" s="5">
        <v>24</v>
      </c>
      <c r="AA7" s="5" t="s">
        <v>68</v>
      </c>
      <c r="AB7" s="5" t="s">
        <v>68</v>
      </c>
      <c r="AC7" s="5" t="s">
        <v>68</v>
      </c>
      <c r="AD7" s="5"/>
      <c r="AE7" s="5"/>
      <c r="AF7" s="5" t="s">
        <v>68</v>
      </c>
      <c r="AG7" s="5" t="s">
        <v>68</v>
      </c>
      <c r="AH7" s="12">
        <v>3608</v>
      </c>
      <c r="AI7" s="12" t="s">
        <v>68</v>
      </c>
      <c r="AJ7" s="12" t="s">
        <v>68</v>
      </c>
      <c r="AK7" s="12"/>
      <c r="AL7" s="12"/>
      <c r="AM7" s="12">
        <f>AH7+1389</f>
        <v>4997</v>
      </c>
      <c r="AN7" s="12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</row>
    <row r="8" spans="1:240" s="1" customFormat="1" ht="30" customHeight="1">
      <c r="A8" s="5">
        <v>6</v>
      </c>
      <c r="B8" s="5" t="s">
        <v>68</v>
      </c>
      <c r="C8" s="5"/>
      <c r="D8" s="5"/>
      <c r="E8" s="5">
        <v>3520</v>
      </c>
      <c r="F8" s="5">
        <v>2260</v>
      </c>
      <c r="G8" s="5">
        <v>980</v>
      </c>
      <c r="H8" s="5">
        <v>248</v>
      </c>
      <c r="I8" s="5" t="s">
        <v>9</v>
      </c>
      <c r="J8" s="5">
        <v>27.3</v>
      </c>
      <c r="K8" s="10">
        <v>5</v>
      </c>
      <c r="L8" s="11">
        <v>143</v>
      </c>
      <c r="M8" s="31">
        <v>10</v>
      </c>
      <c r="N8" s="5">
        <v>102</v>
      </c>
      <c r="O8" s="5">
        <v>45000</v>
      </c>
      <c r="P8" s="5" t="s">
        <v>48</v>
      </c>
      <c r="Q8" s="5">
        <v>1</v>
      </c>
      <c r="R8" s="5">
        <v>3</v>
      </c>
      <c r="S8" s="5">
        <v>630</v>
      </c>
      <c r="T8" s="5">
        <v>1070</v>
      </c>
      <c r="U8" s="5">
        <v>1340</v>
      </c>
      <c r="V8" s="5">
        <f>1.9*R8</f>
        <v>5.6999999999999993</v>
      </c>
      <c r="W8" s="5" t="s">
        <v>10</v>
      </c>
      <c r="X8" s="5">
        <v>62</v>
      </c>
      <c r="Y8" s="5">
        <v>259</v>
      </c>
      <c r="Z8" s="5">
        <v>51</v>
      </c>
      <c r="AA8" s="5" t="s">
        <v>68</v>
      </c>
      <c r="AB8" s="5" t="s">
        <v>68</v>
      </c>
      <c r="AC8" s="5" t="s">
        <v>68</v>
      </c>
      <c r="AD8" s="5"/>
      <c r="AE8" s="5"/>
      <c r="AF8" s="5" t="s">
        <v>68</v>
      </c>
      <c r="AG8" s="5" t="s">
        <v>68</v>
      </c>
      <c r="AH8" s="12">
        <v>5543</v>
      </c>
      <c r="AI8" s="12" t="s">
        <v>68</v>
      </c>
      <c r="AJ8" s="12" t="s">
        <v>68</v>
      </c>
      <c r="AK8" s="12"/>
      <c r="AL8" s="12"/>
      <c r="AM8" s="12">
        <f>AH8+1591</f>
        <v>7134</v>
      </c>
      <c r="AN8" s="12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</row>
    <row r="9" spans="1:240" s="1" customFormat="1" ht="30" customHeight="1">
      <c r="A9" s="5">
        <v>7</v>
      </c>
      <c r="B9" s="5" t="s">
        <v>68</v>
      </c>
      <c r="C9" s="5"/>
      <c r="D9" s="5"/>
      <c r="E9" s="5">
        <v>4660</v>
      </c>
      <c r="F9" s="5">
        <v>1260</v>
      </c>
      <c r="G9" s="5">
        <v>980</v>
      </c>
      <c r="H9" s="5">
        <v>362</v>
      </c>
      <c r="I9" s="5" t="s">
        <v>9</v>
      </c>
      <c r="J9" s="5">
        <v>38.200000000000003</v>
      </c>
      <c r="K9" s="10">
        <v>5</v>
      </c>
      <c r="L9" s="11">
        <v>199.9</v>
      </c>
      <c r="M9" s="31">
        <v>10</v>
      </c>
      <c r="N9" s="5">
        <v>22</v>
      </c>
      <c r="O9" s="5">
        <v>56800</v>
      </c>
      <c r="P9" s="5" t="s">
        <v>48</v>
      </c>
      <c r="Q9" s="5">
        <v>1</v>
      </c>
      <c r="R9" s="5">
        <v>4</v>
      </c>
      <c r="S9" s="5">
        <v>630</v>
      </c>
      <c r="T9" s="5">
        <v>1070</v>
      </c>
      <c r="U9" s="5">
        <v>1340</v>
      </c>
      <c r="V9" s="5">
        <f>1.9*R9</f>
        <v>7.6</v>
      </c>
      <c r="W9" s="5" t="s">
        <v>10</v>
      </c>
      <c r="X9" s="5">
        <v>63</v>
      </c>
      <c r="Y9" s="5">
        <v>460</v>
      </c>
      <c r="Z9" s="5">
        <v>89</v>
      </c>
      <c r="AA9" s="5" t="s">
        <v>68</v>
      </c>
      <c r="AB9" s="5" t="s">
        <v>68</v>
      </c>
      <c r="AC9" s="5" t="s">
        <v>68</v>
      </c>
      <c r="AD9" s="5"/>
      <c r="AE9" s="5"/>
      <c r="AF9" s="5" t="s">
        <v>68</v>
      </c>
      <c r="AG9" s="5" t="s">
        <v>68</v>
      </c>
      <c r="AH9" s="12">
        <v>7893</v>
      </c>
      <c r="AI9" s="12" t="s">
        <v>68</v>
      </c>
      <c r="AJ9" s="12" t="s">
        <v>68</v>
      </c>
      <c r="AK9" s="12"/>
      <c r="AL9" s="12"/>
      <c r="AM9" s="12">
        <f>AH9+1792</f>
        <v>9685</v>
      </c>
      <c r="AN9" s="12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</row>
    <row r="10" spans="1:240" s="1" customFormat="1" ht="30" customHeight="1">
      <c r="A10" s="5">
        <v>8</v>
      </c>
      <c r="B10" s="5" t="s">
        <v>68</v>
      </c>
      <c r="C10" s="5"/>
      <c r="D10" s="5"/>
      <c r="E10" s="5">
        <v>1470</v>
      </c>
      <c r="F10" s="5">
        <v>1380</v>
      </c>
      <c r="G10" s="5">
        <v>1565</v>
      </c>
      <c r="H10" s="5">
        <v>146</v>
      </c>
      <c r="I10" s="5" t="s">
        <v>9</v>
      </c>
      <c r="J10" s="5">
        <v>9.1</v>
      </c>
      <c r="K10" s="10">
        <v>5</v>
      </c>
      <c r="L10" s="11">
        <v>47.6</v>
      </c>
      <c r="M10" s="31">
        <v>10</v>
      </c>
      <c r="N10" s="5">
        <v>35</v>
      </c>
      <c r="O10" s="5">
        <v>20700</v>
      </c>
      <c r="P10" s="5" t="s">
        <v>48</v>
      </c>
      <c r="Q10" s="5">
        <v>1</v>
      </c>
      <c r="R10" s="5">
        <v>1</v>
      </c>
      <c r="S10" s="5">
        <v>800</v>
      </c>
      <c r="T10" s="5">
        <v>685</v>
      </c>
      <c r="U10" s="5">
        <v>895</v>
      </c>
      <c r="V10" s="5">
        <f t="shared" ref="V10:V16" si="0">1.2*R10</f>
        <v>1.2</v>
      </c>
      <c r="W10" s="5" t="s">
        <v>10</v>
      </c>
      <c r="X10" s="5">
        <v>48</v>
      </c>
      <c r="Y10" s="5">
        <v>76</v>
      </c>
      <c r="Z10" s="5">
        <v>16</v>
      </c>
      <c r="AA10" s="5" t="s">
        <v>68</v>
      </c>
      <c r="AB10" s="5" t="s">
        <v>68</v>
      </c>
      <c r="AC10" s="5" t="s">
        <v>68</v>
      </c>
      <c r="AD10" s="5"/>
      <c r="AE10" s="5"/>
      <c r="AF10" s="5" t="s">
        <v>68</v>
      </c>
      <c r="AG10" s="5" t="s">
        <v>68</v>
      </c>
      <c r="AH10" s="12">
        <v>3580</v>
      </c>
      <c r="AI10" s="12" t="s">
        <v>68</v>
      </c>
      <c r="AJ10" s="12" t="s">
        <v>68</v>
      </c>
      <c r="AK10" s="12"/>
      <c r="AL10" s="12"/>
      <c r="AM10" s="12">
        <f>AH10+1186</f>
        <v>4766</v>
      </c>
      <c r="AN10" s="12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</row>
    <row r="11" spans="1:240" s="1" customFormat="1" ht="30" customHeight="1">
      <c r="A11" s="5">
        <v>9</v>
      </c>
      <c r="B11" s="5" t="s">
        <v>68</v>
      </c>
      <c r="C11" s="5"/>
      <c r="D11" s="5"/>
      <c r="E11" s="5">
        <v>2820</v>
      </c>
      <c r="F11" s="5">
        <v>1380</v>
      </c>
      <c r="G11" s="5">
        <v>1565</v>
      </c>
      <c r="H11" s="5">
        <v>280</v>
      </c>
      <c r="I11" s="5" t="s">
        <v>9</v>
      </c>
      <c r="J11" s="5">
        <v>18.899999999999999</v>
      </c>
      <c r="K11" s="10">
        <v>5</v>
      </c>
      <c r="L11" s="11">
        <v>99.3</v>
      </c>
      <c r="M11" s="31">
        <v>10</v>
      </c>
      <c r="N11" s="5">
        <v>77</v>
      </c>
      <c r="O11" s="5">
        <v>41400</v>
      </c>
      <c r="P11" s="5" t="s">
        <v>48</v>
      </c>
      <c r="Q11" s="5">
        <v>1</v>
      </c>
      <c r="R11" s="5">
        <v>2</v>
      </c>
      <c r="S11" s="5">
        <v>800</v>
      </c>
      <c r="T11" s="5">
        <v>685</v>
      </c>
      <c r="U11" s="5">
        <v>895</v>
      </c>
      <c r="V11" s="5">
        <f t="shared" si="0"/>
        <v>2.4</v>
      </c>
      <c r="W11" s="5" t="s">
        <v>10</v>
      </c>
      <c r="X11" s="5">
        <v>51</v>
      </c>
      <c r="Y11" s="5">
        <v>151</v>
      </c>
      <c r="Z11" s="5">
        <v>30</v>
      </c>
      <c r="AA11" s="5" t="s">
        <v>68</v>
      </c>
      <c r="AB11" s="5" t="s">
        <v>68</v>
      </c>
      <c r="AC11" s="5" t="s">
        <v>68</v>
      </c>
      <c r="AD11" s="5"/>
      <c r="AE11" s="5"/>
      <c r="AF11" s="5" t="s">
        <v>68</v>
      </c>
      <c r="AG11" s="5" t="s">
        <v>68</v>
      </c>
      <c r="AH11" s="12">
        <v>5365</v>
      </c>
      <c r="AI11" s="12" t="s">
        <v>68</v>
      </c>
      <c r="AJ11" s="12" t="s">
        <v>68</v>
      </c>
      <c r="AK11" s="12"/>
      <c r="AL11" s="12"/>
      <c r="AM11" s="12">
        <f>AH11+1389</f>
        <v>6754</v>
      </c>
      <c r="AN11" s="12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</row>
    <row r="12" spans="1:240" s="1" customFormat="1" ht="30" customHeight="1">
      <c r="A12" s="5">
        <v>10</v>
      </c>
      <c r="B12" s="5" t="s">
        <v>68</v>
      </c>
      <c r="C12" s="5"/>
      <c r="D12" s="5"/>
      <c r="E12" s="5">
        <v>4170</v>
      </c>
      <c r="F12" s="5">
        <v>1380</v>
      </c>
      <c r="G12" s="5">
        <v>1565</v>
      </c>
      <c r="H12" s="5">
        <v>449</v>
      </c>
      <c r="I12" s="5" t="s">
        <v>9</v>
      </c>
      <c r="J12" s="5">
        <v>33</v>
      </c>
      <c r="K12" s="10">
        <v>5</v>
      </c>
      <c r="L12" s="11">
        <v>172.7</v>
      </c>
      <c r="M12" s="31">
        <v>10</v>
      </c>
      <c r="N12" s="5">
        <v>21</v>
      </c>
      <c r="O12" s="5">
        <v>57900</v>
      </c>
      <c r="P12" s="5" t="s">
        <v>48</v>
      </c>
      <c r="Q12" s="5">
        <v>1</v>
      </c>
      <c r="R12" s="5">
        <v>3</v>
      </c>
      <c r="S12" s="5">
        <v>800</v>
      </c>
      <c r="T12" s="5">
        <v>685</v>
      </c>
      <c r="U12" s="5">
        <v>895</v>
      </c>
      <c r="V12" s="5">
        <f t="shared" si="0"/>
        <v>3.5999999999999996</v>
      </c>
      <c r="W12" s="5" t="s">
        <v>10</v>
      </c>
      <c r="X12" s="5">
        <v>53</v>
      </c>
      <c r="Y12" s="5">
        <v>339</v>
      </c>
      <c r="Z12" s="5">
        <v>69</v>
      </c>
      <c r="AA12" s="5" t="s">
        <v>68</v>
      </c>
      <c r="AB12" s="5" t="s">
        <v>68</v>
      </c>
      <c r="AC12" s="5" t="s">
        <v>68</v>
      </c>
      <c r="AD12" s="5"/>
      <c r="AE12" s="5"/>
      <c r="AF12" s="5" t="s">
        <v>68</v>
      </c>
      <c r="AG12" s="5" t="s">
        <v>68</v>
      </c>
      <c r="AH12" s="12">
        <v>8633</v>
      </c>
      <c r="AI12" s="12" t="s">
        <v>68</v>
      </c>
      <c r="AJ12" s="12" t="s">
        <v>68</v>
      </c>
      <c r="AK12" s="12"/>
      <c r="AL12" s="12"/>
      <c r="AM12" s="12">
        <f>AH12+1591</f>
        <v>10224</v>
      </c>
      <c r="AN12" s="12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</row>
    <row r="13" spans="1:240" s="1" customFormat="1" ht="30" customHeight="1">
      <c r="A13" s="5">
        <v>11</v>
      </c>
      <c r="B13" s="5" t="s">
        <v>68</v>
      </c>
      <c r="C13" s="5"/>
      <c r="D13" s="5"/>
      <c r="E13" s="5">
        <v>5520</v>
      </c>
      <c r="F13" s="5">
        <v>1380</v>
      </c>
      <c r="G13" s="5">
        <v>1565</v>
      </c>
      <c r="H13" s="5">
        <v>642</v>
      </c>
      <c r="I13" s="5" t="s">
        <v>9</v>
      </c>
      <c r="J13" s="5">
        <v>49.6</v>
      </c>
      <c r="K13" s="10">
        <v>5</v>
      </c>
      <c r="L13" s="11">
        <v>259.89999999999998</v>
      </c>
      <c r="M13" s="31">
        <v>10</v>
      </c>
      <c r="N13" s="5">
        <v>35</v>
      </c>
      <c r="O13" s="5">
        <v>71600</v>
      </c>
      <c r="P13" s="5" t="s">
        <v>48</v>
      </c>
      <c r="Q13" s="5">
        <v>1</v>
      </c>
      <c r="R13" s="5">
        <v>4</v>
      </c>
      <c r="S13" s="5">
        <v>800</v>
      </c>
      <c r="T13" s="5">
        <v>685</v>
      </c>
      <c r="U13" s="5">
        <v>895</v>
      </c>
      <c r="V13" s="5">
        <f t="shared" si="0"/>
        <v>4.8</v>
      </c>
      <c r="W13" s="5" t="s">
        <v>10</v>
      </c>
      <c r="X13" s="5">
        <v>54</v>
      </c>
      <c r="Y13" s="5">
        <v>602</v>
      </c>
      <c r="Z13" s="5">
        <v>114</v>
      </c>
      <c r="AA13" s="5" t="s">
        <v>68</v>
      </c>
      <c r="AB13" s="5" t="s">
        <v>68</v>
      </c>
      <c r="AC13" s="5" t="s">
        <v>68</v>
      </c>
      <c r="AD13" s="5"/>
      <c r="AE13" s="5"/>
      <c r="AF13" s="5" t="s">
        <v>68</v>
      </c>
      <c r="AG13" s="5" t="s">
        <v>68</v>
      </c>
      <c r="AH13" s="12">
        <v>12048</v>
      </c>
      <c r="AI13" s="12" t="s">
        <v>68</v>
      </c>
      <c r="AJ13" s="12" t="s">
        <v>68</v>
      </c>
      <c r="AK13" s="12"/>
      <c r="AL13" s="12"/>
      <c r="AM13" s="12">
        <f>AH13+1792</f>
        <v>13840</v>
      </c>
      <c r="AN13" s="12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</row>
    <row r="14" spans="1:240" s="1" customFormat="1" ht="30" customHeight="1">
      <c r="A14" s="5">
        <v>12</v>
      </c>
      <c r="B14" s="5" t="s">
        <v>68</v>
      </c>
      <c r="C14" s="5"/>
      <c r="D14" s="5"/>
      <c r="E14" s="5">
        <v>6870</v>
      </c>
      <c r="F14" s="5">
        <v>1380</v>
      </c>
      <c r="G14" s="5">
        <v>1565</v>
      </c>
      <c r="H14" s="5">
        <v>894</v>
      </c>
      <c r="I14" s="5" t="s">
        <v>9</v>
      </c>
      <c r="J14" s="5">
        <v>60.6</v>
      </c>
      <c r="K14" s="10">
        <v>5</v>
      </c>
      <c r="L14" s="11">
        <v>317.7</v>
      </c>
      <c r="M14" s="31">
        <v>10</v>
      </c>
      <c r="N14" s="5">
        <v>28</v>
      </c>
      <c r="O14" s="5">
        <v>89500</v>
      </c>
      <c r="P14" s="5" t="s">
        <v>48</v>
      </c>
      <c r="Q14" s="5">
        <v>1</v>
      </c>
      <c r="R14" s="5">
        <v>5</v>
      </c>
      <c r="S14" s="5">
        <v>800</v>
      </c>
      <c r="T14" s="5">
        <v>685</v>
      </c>
      <c r="U14" s="5">
        <v>895</v>
      </c>
      <c r="V14" s="5">
        <f t="shared" si="0"/>
        <v>6</v>
      </c>
      <c r="W14" s="5" t="s">
        <v>10</v>
      </c>
      <c r="X14" s="5">
        <v>55</v>
      </c>
      <c r="Y14" s="5">
        <v>1054</v>
      </c>
      <c r="Z14" s="5">
        <v>174</v>
      </c>
      <c r="AA14" s="5" t="s">
        <v>68</v>
      </c>
      <c r="AB14" s="5" t="s">
        <v>68</v>
      </c>
      <c r="AC14" s="5" t="s">
        <v>68</v>
      </c>
      <c r="AD14" s="5"/>
      <c r="AE14" s="5"/>
      <c r="AF14" s="5" t="s">
        <v>68</v>
      </c>
      <c r="AG14" s="5" t="s">
        <v>68</v>
      </c>
      <c r="AH14" s="12">
        <v>15079</v>
      </c>
      <c r="AI14" s="12" t="s">
        <v>68</v>
      </c>
      <c r="AJ14" s="12" t="s">
        <v>68</v>
      </c>
      <c r="AK14" s="12"/>
      <c r="AL14" s="12"/>
      <c r="AM14" s="12">
        <f>AH14+2077</f>
        <v>17156</v>
      </c>
      <c r="AN14" s="12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</row>
    <row r="15" spans="1:240" s="1" customFormat="1" ht="30" customHeight="1">
      <c r="A15" s="5">
        <v>13</v>
      </c>
      <c r="B15" s="5" t="s">
        <v>68</v>
      </c>
      <c r="C15" s="5"/>
      <c r="D15" s="5"/>
      <c r="E15" s="5">
        <v>8220</v>
      </c>
      <c r="F15" s="5">
        <v>1380</v>
      </c>
      <c r="G15" s="5">
        <v>1565</v>
      </c>
      <c r="H15" s="5">
        <v>1039</v>
      </c>
      <c r="I15" s="5" t="s">
        <v>9</v>
      </c>
      <c r="J15" s="5">
        <v>74.5</v>
      </c>
      <c r="K15" s="10">
        <v>5</v>
      </c>
      <c r="L15" s="11">
        <v>390.2</v>
      </c>
      <c r="M15" s="31">
        <v>10</v>
      </c>
      <c r="N15" s="5">
        <v>49</v>
      </c>
      <c r="O15" s="5">
        <v>107400</v>
      </c>
      <c r="P15" s="5" t="s">
        <v>48</v>
      </c>
      <c r="Q15" s="5">
        <v>1</v>
      </c>
      <c r="R15" s="5">
        <v>6</v>
      </c>
      <c r="S15" s="5">
        <v>800</v>
      </c>
      <c r="T15" s="5">
        <v>685</v>
      </c>
      <c r="U15" s="5">
        <v>895</v>
      </c>
      <c r="V15" s="5">
        <f t="shared" si="0"/>
        <v>7.1999999999999993</v>
      </c>
      <c r="W15" s="5" t="s">
        <v>10</v>
      </c>
      <c r="X15" s="5">
        <v>56</v>
      </c>
      <c r="Y15" s="5">
        <v>1265</v>
      </c>
      <c r="Z15" s="5">
        <v>215</v>
      </c>
      <c r="AA15" s="5" t="s">
        <v>68</v>
      </c>
      <c r="AB15" s="5" t="s">
        <v>68</v>
      </c>
      <c r="AC15" s="5" t="s">
        <v>68</v>
      </c>
      <c r="AD15" s="5"/>
      <c r="AE15" s="5"/>
      <c r="AF15" s="5" t="s">
        <v>68</v>
      </c>
      <c r="AG15" s="5" t="s">
        <v>68</v>
      </c>
      <c r="AH15" s="12">
        <v>17952</v>
      </c>
      <c r="AI15" s="12" t="s">
        <v>68</v>
      </c>
      <c r="AJ15" s="12" t="s">
        <v>68</v>
      </c>
      <c r="AK15" s="12"/>
      <c r="AL15" s="12"/>
      <c r="AM15" s="12">
        <f>AH15+2278</f>
        <v>20230</v>
      </c>
      <c r="AN15" s="12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</row>
    <row r="16" spans="1:240" s="1" customFormat="1" ht="30" customHeight="1">
      <c r="A16" s="5">
        <v>14</v>
      </c>
      <c r="B16" s="5" t="s">
        <v>68</v>
      </c>
      <c r="C16" s="5"/>
      <c r="D16" s="5"/>
      <c r="E16" s="5">
        <v>9570</v>
      </c>
      <c r="F16" s="5">
        <v>1380</v>
      </c>
      <c r="G16" s="5">
        <v>1565</v>
      </c>
      <c r="H16" s="5">
        <v>1210</v>
      </c>
      <c r="I16" s="5" t="s">
        <v>9</v>
      </c>
      <c r="J16" s="5">
        <v>88.3</v>
      </c>
      <c r="K16" s="10">
        <v>5</v>
      </c>
      <c r="L16" s="11">
        <v>462.8</v>
      </c>
      <c r="M16" s="31">
        <v>10</v>
      </c>
      <c r="N16" s="5">
        <v>76</v>
      </c>
      <c r="O16" s="5">
        <v>125300</v>
      </c>
      <c r="P16" s="5" t="s">
        <v>48</v>
      </c>
      <c r="Q16" s="5">
        <v>1</v>
      </c>
      <c r="R16" s="5">
        <v>7</v>
      </c>
      <c r="S16" s="5">
        <v>800</v>
      </c>
      <c r="T16" s="5">
        <v>685</v>
      </c>
      <c r="U16" s="5">
        <v>895</v>
      </c>
      <c r="V16" s="5">
        <f t="shared" si="0"/>
        <v>8.4</v>
      </c>
      <c r="W16" s="5" t="s">
        <v>10</v>
      </c>
      <c r="X16" s="5">
        <v>56</v>
      </c>
      <c r="Y16" s="5">
        <v>1476</v>
      </c>
      <c r="Z16" s="5">
        <v>248</v>
      </c>
      <c r="AA16" s="5" t="s">
        <v>68</v>
      </c>
      <c r="AB16" s="5" t="s">
        <v>68</v>
      </c>
      <c r="AC16" s="5" t="s">
        <v>68</v>
      </c>
      <c r="AD16" s="5"/>
      <c r="AE16" s="5"/>
      <c r="AF16" s="5" t="s">
        <v>68</v>
      </c>
      <c r="AG16" s="5" t="s">
        <v>68</v>
      </c>
      <c r="AH16" s="12">
        <v>20432</v>
      </c>
      <c r="AI16" s="12" t="s">
        <v>68</v>
      </c>
      <c r="AJ16" s="12" t="s">
        <v>68</v>
      </c>
      <c r="AK16" s="12"/>
      <c r="AL16" s="12"/>
      <c r="AM16" s="12">
        <f>AH16+2481</f>
        <v>22913</v>
      </c>
      <c r="AN16" s="12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</row>
    <row r="17" spans="1:240" s="1" customFormat="1" ht="30" customHeight="1">
      <c r="A17" s="5">
        <v>15</v>
      </c>
      <c r="B17" s="5" t="s">
        <v>68</v>
      </c>
      <c r="C17" s="5"/>
      <c r="D17" s="5"/>
      <c r="E17" s="5">
        <v>1470</v>
      </c>
      <c r="F17" s="5">
        <v>2400</v>
      </c>
      <c r="G17" s="5">
        <v>1565</v>
      </c>
      <c r="H17" s="5">
        <v>243</v>
      </c>
      <c r="I17" s="5" t="s">
        <v>9</v>
      </c>
      <c r="J17" s="5">
        <v>17.2</v>
      </c>
      <c r="K17" s="10">
        <v>5</v>
      </c>
      <c r="L17" s="11">
        <v>90.2</v>
      </c>
      <c r="M17" s="31">
        <v>10</v>
      </c>
      <c r="N17" s="5">
        <v>40</v>
      </c>
      <c r="O17" s="5">
        <v>40200</v>
      </c>
      <c r="P17" s="5" t="s">
        <v>48</v>
      </c>
      <c r="Q17" s="5">
        <v>2</v>
      </c>
      <c r="R17" s="5">
        <v>2</v>
      </c>
      <c r="S17" s="5">
        <v>800</v>
      </c>
      <c r="T17" s="5">
        <v>685</v>
      </c>
      <c r="U17" s="5">
        <v>895</v>
      </c>
      <c r="V17" s="5">
        <f t="shared" ref="V17:V25" si="1">2*R17</f>
        <v>4</v>
      </c>
      <c r="W17" s="5" t="s">
        <v>10</v>
      </c>
      <c r="X17" s="5">
        <v>51</v>
      </c>
      <c r="Y17" s="5">
        <v>137</v>
      </c>
      <c r="Z17" s="5">
        <v>32</v>
      </c>
      <c r="AA17" s="5" t="s">
        <v>68</v>
      </c>
      <c r="AB17" s="5" t="s">
        <v>68</v>
      </c>
      <c r="AC17" s="5" t="s">
        <v>68</v>
      </c>
      <c r="AD17" s="5"/>
      <c r="AE17" s="5"/>
      <c r="AF17" s="5" t="s">
        <v>68</v>
      </c>
      <c r="AG17" s="5" t="s">
        <v>68</v>
      </c>
      <c r="AH17" s="12">
        <v>5523</v>
      </c>
      <c r="AI17" s="12" t="s">
        <v>68</v>
      </c>
      <c r="AJ17" s="12" t="s">
        <v>68</v>
      </c>
      <c r="AK17" s="12"/>
      <c r="AL17" s="12"/>
      <c r="AM17" s="12">
        <f>AH17+2045</f>
        <v>7568</v>
      </c>
      <c r="AN17" s="12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</row>
    <row r="18" spans="1:240" s="1" customFormat="1" ht="30" customHeight="1">
      <c r="A18" s="5">
        <v>16</v>
      </c>
      <c r="B18" s="5" t="s">
        <v>68</v>
      </c>
      <c r="C18" s="5"/>
      <c r="D18" s="5"/>
      <c r="E18" s="5">
        <v>2820</v>
      </c>
      <c r="F18" s="5">
        <v>2400</v>
      </c>
      <c r="G18" s="5">
        <v>1565</v>
      </c>
      <c r="H18" s="5">
        <v>463</v>
      </c>
      <c r="I18" s="5" t="s">
        <v>9</v>
      </c>
      <c r="J18" s="5">
        <v>34.200000000000003</v>
      </c>
      <c r="K18" s="10">
        <v>5</v>
      </c>
      <c r="L18" s="11">
        <v>179.3</v>
      </c>
      <c r="M18" s="31">
        <v>10</v>
      </c>
      <c r="N18" s="5">
        <v>34</v>
      </c>
      <c r="O18" s="5">
        <v>80400</v>
      </c>
      <c r="P18" s="5" t="s">
        <v>48</v>
      </c>
      <c r="Q18" s="5">
        <v>2</v>
      </c>
      <c r="R18" s="5">
        <v>4</v>
      </c>
      <c r="S18" s="5">
        <v>800</v>
      </c>
      <c r="T18" s="5">
        <v>685</v>
      </c>
      <c r="U18" s="5">
        <v>895</v>
      </c>
      <c r="V18" s="5">
        <f t="shared" si="1"/>
        <v>8</v>
      </c>
      <c r="W18" s="5" t="s">
        <v>10</v>
      </c>
      <c r="X18" s="5">
        <v>54</v>
      </c>
      <c r="Y18" s="5">
        <v>273</v>
      </c>
      <c r="Z18" s="5">
        <v>60</v>
      </c>
      <c r="AA18" s="5" t="s">
        <v>68</v>
      </c>
      <c r="AB18" s="5" t="s">
        <v>68</v>
      </c>
      <c r="AC18" s="5" t="s">
        <v>68</v>
      </c>
      <c r="AD18" s="5"/>
      <c r="AE18" s="5"/>
      <c r="AF18" s="5" t="s">
        <v>68</v>
      </c>
      <c r="AG18" s="5" t="s">
        <v>68</v>
      </c>
      <c r="AH18" s="12">
        <v>8763</v>
      </c>
      <c r="AI18" s="12" t="s">
        <v>68</v>
      </c>
      <c r="AJ18" s="12" t="s">
        <v>68</v>
      </c>
      <c r="AK18" s="12"/>
      <c r="AL18" s="12"/>
      <c r="AM18" s="12">
        <f>AH18+2450</f>
        <v>11213</v>
      </c>
      <c r="AN18" s="12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</row>
    <row r="19" spans="1:240" s="1" customFormat="1" ht="30" customHeight="1">
      <c r="A19" s="5">
        <v>17</v>
      </c>
      <c r="B19" s="5" t="s">
        <v>68</v>
      </c>
      <c r="C19" s="5"/>
      <c r="D19" s="5"/>
      <c r="E19" s="5">
        <v>4170</v>
      </c>
      <c r="F19" s="5">
        <v>2400</v>
      </c>
      <c r="G19" s="5">
        <v>1565</v>
      </c>
      <c r="H19" s="5">
        <v>691</v>
      </c>
      <c r="I19" s="5" t="s">
        <v>9</v>
      </c>
      <c r="J19" s="5">
        <v>51.3</v>
      </c>
      <c r="K19" s="10">
        <v>5</v>
      </c>
      <c r="L19" s="11">
        <v>268.89999999999998</v>
      </c>
      <c r="M19" s="31">
        <v>10</v>
      </c>
      <c r="N19" s="5">
        <v>33</v>
      </c>
      <c r="O19" s="5">
        <v>120600</v>
      </c>
      <c r="P19" s="5" t="s">
        <v>48</v>
      </c>
      <c r="Q19" s="5">
        <v>2</v>
      </c>
      <c r="R19" s="5">
        <v>6</v>
      </c>
      <c r="S19" s="5">
        <v>800</v>
      </c>
      <c r="T19" s="5">
        <v>685</v>
      </c>
      <c r="U19" s="5">
        <v>895</v>
      </c>
      <c r="V19" s="5">
        <f t="shared" si="1"/>
        <v>12</v>
      </c>
      <c r="W19" s="5" t="s">
        <v>10</v>
      </c>
      <c r="X19" s="5">
        <v>56</v>
      </c>
      <c r="Y19" s="5">
        <v>409</v>
      </c>
      <c r="Z19" s="5">
        <v>89</v>
      </c>
      <c r="AA19" s="5" t="s">
        <v>68</v>
      </c>
      <c r="AB19" s="5" t="s">
        <v>68</v>
      </c>
      <c r="AC19" s="5" t="s">
        <v>68</v>
      </c>
      <c r="AD19" s="5"/>
      <c r="AE19" s="5"/>
      <c r="AF19" s="5" t="s">
        <v>68</v>
      </c>
      <c r="AG19" s="5" t="s">
        <v>68</v>
      </c>
      <c r="AH19" s="12">
        <v>12612</v>
      </c>
      <c r="AI19" s="12" t="s">
        <v>68</v>
      </c>
      <c r="AJ19" s="12" t="s">
        <v>68</v>
      </c>
      <c r="AK19" s="12"/>
      <c r="AL19" s="12"/>
      <c r="AM19" s="12">
        <f>AH19+2936</f>
        <v>15548</v>
      </c>
      <c r="AN19" s="12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</row>
    <row r="20" spans="1:240" s="1" customFormat="1" ht="30" customHeight="1">
      <c r="A20" s="5">
        <v>18</v>
      </c>
      <c r="B20" s="5" t="s">
        <v>68</v>
      </c>
      <c r="C20" s="5"/>
      <c r="D20" s="5"/>
      <c r="E20" s="5">
        <v>5520</v>
      </c>
      <c r="F20" s="5">
        <v>2400</v>
      </c>
      <c r="G20" s="5">
        <v>1565</v>
      </c>
      <c r="H20" s="5">
        <v>914</v>
      </c>
      <c r="I20" s="5" t="s">
        <v>9</v>
      </c>
      <c r="J20" s="5">
        <v>71.599999999999994</v>
      </c>
      <c r="K20" s="10">
        <v>5</v>
      </c>
      <c r="L20" s="11">
        <v>375</v>
      </c>
      <c r="M20" s="31">
        <v>10</v>
      </c>
      <c r="N20" s="5">
        <v>79</v>
      </c>
      <c r="O20" s="5">
        <v>160800</v>
      </c>
      <c r="P20" s="5" t="s">
        <v>48</v>
      </c>
      <c r="Q20" s="5">
        <v>2</v>
      </c>
      <c r="R20" s="5">
        <v>8</v>
      </c>
      <c r="S20" s="5">
        <v>800</v>
      </c>
      <c r="T20" s="5">
        <v>685</v>
      </c>
      <c r="U20" s="5">
        <v>895</v>
      </c>
      <c r="V20" s="5">
        <f t="shared" si="1"/>
        <v>16</v>
      </c>
      <c r="W20" s="5" t="s">
        <v>10</v>
      </c>
      <c r="X20" s="5">
        <v>57</v>
      </c>
      <c r="Y20" s="5">
        <v>545</v>
      </c>
      <c r="Z20" s="5">
        <v>112</v>
      </c>
      <c r="AA20" s="5" t="s">
        <v>68</v>
      </c>
      <c r="AB20" s="5" t="s">
        <v>68</v>
      </c>
      <c r="AC20" s="5" t="s">
        <v>68</v>
      </c>
      <c r="AD20" s="5"/>
      <c r="AE20" s="5"/>
      <c r="AF20" s="5" t="s">
        <v>68</v>
      </c>
      <c r="AG20" s="5" t="s">
        <v>68</v>
      </c>
      <c r="AH20" s="12">
        <v>15880</v>
      </c>
      <c r="AI20" s="12" t="s">
        <v>68</v>
      </c>
      <c r="AJ20" s="12" t="s">
        <v>68</v>
      </c>
      <c r="AK20" s="12"/>
      <c r="AL20" s="12"/>
      <c r="AM20" s="12">
        <f>AH20+3480</f>
        <v>19360</v>
      </c>
      <c r="AN20" s="12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</row>
    <row r="21" spans="1:240" s="1" customFormat="1" ht="30" customHeight="1">
      <c r="A21" s="5">
        <v>19</v>
      </c>
      <c r="B21" s="5" t="s">
        <v>68</v>
      </c>
      <c r="C21" s="5"/>
      <c r="D21" s="5"/>
      <c r="E21" s="5">
        <v>5520</v>
      </c>
      <c r="F21" s="5">
        <v>2400</v>
      </c>
      <c r="G21" s="5">
        <v>1565</v>
      </c>
      <c r="H21" s="5">
        <v>987</v>
      </c>
      <c r="I21" s="5" t="s">
        <v>9</v>
      </c>
      <c r="J21" s="5">
        <v>86.5</v>
      </c>
      <c r="K21" s="10">
        <v>5</v>
      </c>
      <c r="L21" s="11">
        <v>453</v>
      </c>
      <c r="M21" s="31">
        <v>10</v>
      </c>
      <c r="N21" s="5">
        <v>54</v>
      </c>
      <c r="O21" s="5">
        <v>148000</v>
      </c>
      <c r="P21" s="5" t="s">
        <v>48</v>
      </c>
      <c r="Q21" s="5">
        <v>2</v>
      </c>
      <c r="R21" s="5">
        <v>8</v>
      </c>
      <c r="S21" s="5">
        <v>800</v>
      </c>
      <c r="T21" s="5">
        <v>685</v>
      </c>
      <c r="U21" s="5">
        <v>895</v>
      </c>
      <c r="V21" s="5">
        <f t="shared" si="1"/>
        <v>16</v>
      </c>
      <c r="W21" s="5" t="s">
        <v>10</v>
      </c>
      <c r="X21" s="5">
        <v>57</v>
      </c>
      <c r="Y21" s="5">
        <v>817</v>
      </c>
      <c r="Z21" s="5">
        <v>175</v>
      </c>
      <c r="AA21" s="5" t="s">
        <v>68</v>
      </c>
      <c r="AB21" s="5" t="s">
        <v>68</v>
      </c>
      <c r="AC21" s="5" t="s">
        <v>68</v>
      </c>
      <c r="AD21" s="5"/>
      <c r="AE21" s="5"/>
      <c r="AF21" s="5" t="s">
        <v>68</v>
      </c>
      <c r="AG21" s="5" t="s">
        <v>68</v>
      </c>
      <c r="AH21" s="13">
        <v>18608</v>
      </c>
      <c r="AI21" s="12" t="s">
        <v>68</v>
      </c>
      <c r="AJ21" s="12" t="s">
        <v>68</v>
      </c>
      <c r="AK21" s="12"/>
      <c r="AL21" s="12"/>
      <c r="AM21" s="12">
        <f>AH21+3480</f>
        <v>22088</v>
      </c>
      <c r="AN21" s="12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</row>
    <row r="22" spans="1:240" s="1" customFormat="1" ht="30" customHeight="1">
      <c r="A22" s="5">
        <v>20</v>
      </c>
      <c r="B22" s="5" t="s">
        <v>68</v>
      </c>
      <c r="C22" s="5"/>
      <c r="D22" s="5"/>
      <c r="E22" s="5">
        <v>6870</v>
      </c>
      <c r="F22" s="5">
        <v>2400</v>
      </c>
      <c r="G22" s="5">
        <v>1565</v>
      </c>
      <c r="H22" s="5">
        <v>1340</v>
      </c>
      <c r="I22" s="5" t="s">
        <v>9</v>
      </c>
      <c r="J22" s="5">
        <v>104.7</v>
      </c>
      <c r="K22" s="10">
        <v>5</v>
      </c>
      <c r="L22" s="11">
        <v>548.6</v>
      </c>
      <c r="M22" s="31">
        <v>10</v>
      </c>
      <c r="N22" s="5">
        <v>44</v>
      </c>
      <c r="O22" s="5">
        <v>185000</v>
      </c>
      <c r="P22" s="5" t="s">
        <v>48</v>
      </c>
      <c r="Q22" s="5">
        <v>2</v>
      </c>
      <c r="R22" s="5">
        <v>10</v>
      </c>
      <c r="S22" s="5">
        <v>800</v>
      </c>
      <c r="T22" s="5">
        <v>685</v>
      </c>
      <c r="U22" s="5">
        <v>895</v>
      </c>
      <c r="V22" s="5">
        <f t="shared" si="1"/>
        <v>20</v>
      </c>
      <c r="W22" s="5" t="s">
        <v>10</v>
      </c>
      <c r="X22" s="5">
        <v>58</v>
      </c>
      <c r="Y22" s="5">
        <v>1423</v>
      </c>
      <c r="Z22" s="5">
        <v>255</v>
      </c>
      <c r="AA22" s="5" t="s">
        <v>68</v>
      </c>
      <c r="AB22" s="5" t="s">
        <v>68</v>
      </c>
      <c r="AC22" s="5" t="s">
        <v>68</v>
      </c>
      <c r="AD22" s="5"/>
      <c r="AE22" s="5"/>
      <c r="AF22" s="5" t="s">
        <v>68</v>
      </c>
      <c r="AG22" s="5" t="s">
        <v>68</v>
      </c>
      <c r="AH22" s="12">
        <v>22956</v>
      </c>
      <c r="AI22" s="12" t="s">
        <v>68</v>
      </c>
      <c r="AJ22" s="12" t="s">
        <v>68</v>
      </c>
      <c r="AK22" s="12"/>
      <c r="AL22" s="12"/>
      <c r="AM22" s="12">
        <f>AH22+4890</f>
        <v>27846</v>
      </c>
      <c r="AN22" s="12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</row>
    <row r="23" spans="1:240" s="1" customFormat="1" ht="30" customHeight="1">
      <c r="A23" s="5">
        <v>21</v>
      </c>
      <c r="B23" s="5" t="s">
        <v>68</v>
      </c>
      <c r="C23" s="5"/>
      <c r="D23" s="5"/>
      <c r="E23" s="5">
        <v>8220</v>
      </c>
      <c r="F23" s="5">
        <v>2400</v>
      </c>
      <c r="G23" s="5">
        <v>1565</v>
      </c>
      <c r="H23" s="5">
        <v>1581</v>
      </c>
      <c r="I23" s="5" t="s">
        <v>9</v>
      </c>
      <c r="J23" s="5">
        <v>128.9</v>
      </c>
      <c r="K23" s="10">
        <v>5</v>
      </c>
      <c r="L23" s="11">
        <v>675.2</v>
      </c>
      <c r="M23" s="31">
        <v>10</v>
      </c>
      <c r="N23" s="5">
        <v>75</v>
      </c>
      <c r="O23" s="5">
        <v>222000</v>
      </c>
      <c r="P23" s="5" t="s">
        <v>48</v>
      </c>
      <c r="Q23" s="5">
        <v>2</v>
      </c>
      <c r="R23" s="5">
        <v>12</v>
      </c>
      <c r="S23" s="5">
        <v>800</v>
      </c>
      <c r="T23" s="5">
        <v>685</v>
      </c>
      <c r="U23" s="5">
        <v>895</v>
      </c>
      <c r="V23" s="5">
        <f t="shared" si="1"/>
        <v>24</v>
      </c>
      <c r="W23" s="5" t="s">
        <v>10</v>
      </c>
      <c r="X23" s="5">
        <v>58</v>
      </c>
      <c r="Y23" s="5">
        <v>1707</v>
      </c>
      <c r="Z23" s="5">
        <v>299</v>
      </c>
      <c r="AA23" s="5" t="s">
        <v>68</v>
      </c>
      <c r="AB23" s="5" t="s">
        <v>68</v>
      </c>
      <c r="AC23" s="5" t="s">
        <v>68</v>
      </c>
      <c r="AD23" s="5"/>
      <c r="AE23" s="5"/>
      <c r="AF23" s="5" t="s">
        <v>68</v>
      </c>
      <c r="AG23" s="5" t="s">
        <v>68</v>
      </c>
      <c r="AH23" s="12">
        <v>26881</v>
      </c>
      <c r="AI23" s="12" t="s">
        <v>68</v>
      </c>
      <c r="AJ23" s="12" t="s">
        <v>68</v>
      </c>
      <c r="AK23" s="12"/>
      <c r="AL23" s="12"/>
      <c r="AM23" s="12">
        <f>AH23+4890</f>
        <v>31771</v>
      </c>
      <c r="AN23" s="12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</row>
    <row r="24" spans="1:240" s="1" customFormat="1" ht="30" customHeight="1">
      <c r="A24" s="5">
        <v>22</v>
      </c>
      <c r="B24" s="5" t="s">
        <v>68</v>
      </c>
      <c r="C24" s="5"/>
      <c r="D24" s="5"/>
      <c r="E24" s="5">
        <v>9570</v>
      </c>
      <c r="F24" s="5">
        <v>2400</v>
      </c>
      <c r="G24" s="5">
        <v>1565</v>
      </c>
      <c r="H24" s="5">
        <v>1841</v>
      </c>
      <c r="I24" s="5" t="s">
        <v>9</v>
      </c>
      <c r="J24" s="5">
        <v>153</v>
      </c>
      <c r="K24" s="10">
        <v>5</v>
      </c>
      <c r="L24" s="11">
        <v>801.8</v>
      </c>
      <c r="M24" s="31">
        <v>10</v>
      </c>
      <c r="N24" s="5">
        <v>118</v>
      </c>
      <c r="O24" s="5">
        <v>259000</v>
      </c>
      <c r="P24" s="5" t="s">
        <v>48</v>
      </c>
      <c r="Q24" s="5">
        <v>2</v>
      </c>
      <c r="R24" s="5">
        <v>14</v>
      </c>
      <c r="S24" s="5">
        <v>800</v>
      </c>
      <c r="T24" s="5">
        <v>685</v>
      </c>
      <c r="U24" s="5">
        <v>895</v>
      </c>
      <c r="V24" s="5">
        <f t="shared" si="1"/>
        <v>28</v>
      </c>
      <c r="W24" s="5" t="s">
        <v>10</v>
      </c>
      <c r="X24" s="5">
        <v>58</v>
      </c>
      <c r="Y24" s="5">
        <v>1992</v>
      </c>
      <c r="Z24" s="5">
        <v>343</v>
      </c>
      <c r="AA24" s="5" t="s">
        <v>68</v>
      </c>
      <c r="AB24" s="5" t="s">
        <v>68</v>
      </c>
      <c r="AC24" s="5" t="s">
        <v>68</v>
      </c>
      <c r="AD24" s="5"/>
      <c r="AE24" s="5"/>
      <c r="AF24" s="5" t="s">
        <v>68</v>
      </c>
      <c r="AG24" s="5" t="s">
        <v>68</v>
      </c>
      <c r="AH24" s="12">
        <v>30670</v>
      </c>
      <c r="AI24" s="12" t="s">
        <v>68</v>
      </c>
      <c r="AJ24" s="12" t="s">
        <v>68</v>
      </c>
      <c r="AK24" s="12"/>
      <c r="AL24" s="12"/>
      <c r="AM24" s="12">
        <f>AH24+5293</f>
        <v>35963</v>
      </c>
      <c r="AN24" s="12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</row>
    <row r="25" spans="1:240" s="1" customFormat="1" ht="30" customHeight="1">
      <c r="A25" s="5">
        <v>23</v>
      </c>
      <c r="B25" s="5" t="s">
        <v>68</v>
      </c>
      <c r="C25" s="5"/>
      <c r="D25" s="5"/>
      <c r="E25" s="5">
        <v>10920</v>
      </c>
      <c r="F25" s="5">
        <v>2400</v>
      </c>
      <c r="G25" s="5">
        <v>1565</v>
      </c>
      <c r="H25" s="5">
        <v>2318</v>
      </c>
      <c r="I25" s="5" t="s">
        <v>9</v>
      </c>
      <c r="J25" s="5">
        <v>193</v>
      </c>
      <c r="K25" s="10">
        <v>5</v>
      </c>
      <c r="L25" s="11">
        <v>1011.3</v>
      </c>
      <c r="M25" s="31">
        <v>10</v>
      </c>
      <c r="N25" s="5">
        <v>122</v>
      </c>
      <c r="O25" s="5">
        <v>275200</v>
      </c>
      <c r="P25" s="5" t="s">
        <v>48</v>
      </c>
      <c r="Q25" s="5">
        <v>2</v>
      </c>
      <c r="R25" s="5">
        <v>16</v>
      </c>
      <c r="S25" s="5">
        <v>800</v>
      </c>
      <c r="T25" s="5">
        <v>685</v>
      </c>
      <c r="U25" s="5">
        <v>895</v>
      </c>
      <c r="V25" s="5">
        <f t="shared" si="1"/>
        <v>32</v>
      </c>
      <c r="W25" s="5" t="s">
        <v>10</v>
      </c>
      <c r="X25" s="5">
        <v>59</v>
      </c>
      <c r="Y25" s="5">
        <v>3035</v>
      </c>
      <c r="Z25" s="5">
        <v>505</v>
      </c>
      <c r="AA25" s="5" t="s">
        <v>68</v>
      </c>
      <c r="AB25" s="5" t="s">
        <v>68</v>
      </c>
      <c r="AC25" s="5" t="s">
        <v>68</v>
      </c>
      <c r="AD25" s="5"/>
      <c r="AE25" s="5"/>
      <c r="AF25" s="5" t="s">
        <v>68</v>
      </c>
      <c r="AG25" s="5" t="s">
        <v>68</v>
      </c>
      <c r="AH25" s="12">
        <v>39307</v>
      </c>
      <c r="AI25" s="12" t="s">
        <v>68</v>
      </c>
      <c r="AJ25" s="12" t="s">
        <v>68</v>
      </c>
      <c r="AK25" s="12"/>
      <c r="AL25" s="12"/>
      <c r="AM25" s="12">
        <f>AH25+5698</f>
        <v>45005</v>
      </c>
      <c r="AN25" s="12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</row>
    <row r="26" spans="1:240" s="1" customFormat="1" ht="30" customHeight="1">
      <c r="A26" s="5">
        <v>24</v>
      </c>
      <c r="B26" s="5" t="s">
        <v>68</v>
      </c>
      <c r="C26" s="5"/>
      <c r="D26" s="5"/>
      <c r="E26" s="5">
        <v>1620</v>
      </c>
      <c r="F26" s="5">
        <v>2400</v>
      </c>
      <c r="G26" s="5">
        <v>1565</v>
      </c>
      <c r="H26" s="5">
        <v>294</v>
      </c>
      <c r="I26" s="5" t="s">
        <v>9</v>
      </c>
      <c r="J26" s="5">
        <v>22.6</v>
      </c>
      <c r="K26" s="10">
        <v>5</v>
      </c>
      <c r="L26" s="11">
        <v>118.6</v>
      </c>
      <c r="M26" s="31">
        <v>10</v>
      </c>
      <c r="N26" s="5">
        <v>71</v>
      </c>
      <c r="O26" s="5">
        <v>57400</v>
      </c>
      <c r="P26" s="5" t="s">
        <v>48</v>
      </c>
      <c r="Q26" s="5">
        <v>2</v>
      </c>
      <c r="R26" s="5">
        <v>2</v>
      </c>
      <c r="S26" s="5">
        <v>900</v>
      </c>
      <c r="T26" s="5">
        <v>716</v>
      </c>
      <c r="U26" s="5">
        <v>893</v>
      </c>
      <c r="V26" s="5">
        <f t="shared" ref="V26:V54" si="2">3.6*R26</f>
        <v>7.2</v>
      </c>
      <c r="W26" s="5" t="s">
        <v>10</v>
      </c>
      <c r="X26" s="5">
        <v>59</v>
      </c>
      <c r="Y26" s="5">
        <v>152</v>
      </c>
      <c r="Z26" s="5">
        <v>39</v>
      </c>
      <c r="AA26" s="5" t="s">
        <v>68</v>
      </c>
      <c r="AB26" s="5" t="s">
        <v>68</v>
      </c>
      <c r="AC26" s="5" t="s">
        <v>68</v>
      </c>
      <c r="AD26" s="5"/>
      <c r="AE26" s="5"/>
      <c r="AF26" s="5" t="s">
        <v>68</v>
      </c>
      <c r="AG26" s="5" t="s">
        <v>68</v>
      </c>
      <c r="AH26" s="12">
        <v>6585</v>
      </c>
      <c r="AI26" s="12" t="s">
        <v>68</v>
      </c>
      <c r="AJ26" s="12" t="s">
        <v>68</v>
      </c>
      <c r="AK26" s="12"/>
      <c r="AL26" s="12"/>
      <c r="AM26" s="12">
        <f>AH26+2077</f>
        <v>8662</v>
      </c>
      <c r="AN26" s="12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</row>
    <row r="27" spans="1:240" s="1" customFormat="1" ht="30" customHeight="1">
      <c r="A27" s="5">
        <v>25</v>
      </c>
      <c r="B27" s="5" t="s">
        <v>68</v>
      </c>
      <c r="C27" s="5"/>
      <c r="D27" s="5"/>
      <c r="E27" s="5">
        <v>3120</v>
      </c>
      <c r="F27" s="5">
        <v>2400</v>
      </c>
      <c r="G27" s="5">
        <v>1565</v>
      </c>
      <c r="H27" s="5">
        <v>562</v>
      </c>
      <c r="I27" s="5" t="s">
        <v>9</v>
      </c>
      <c r="J27" s="5">
        <v>41.3</v>
      </c>
      <c r="K27" s="10">
        <v>5</v>
      </c>
      <c r="L27" s="11">
        <v>216.6</v>
      </c>
      <c r="M27" s="31">
        <v>10</v>
      </c>
      <c r="N27" s="5">
        <v>17</v>
      </c>
      <c r="O27" s="5">
        <v>114800</v>
      </c>
      <c r="P27" s="5" t="s">
        <v>48</v>
      </c>
      <c r="Q27" s="5">
        <v>2</v>
      </c>
      <c r="R27" s="5">
        <v>4</v>
      </c>
      <c r="S27" s="5">
        <v>900</v>
      </c>
      <c r="T27" s="5">
        <v>716</v>
      </c>
      <c r="U27" s="5">
        <v>893</v>
      </c>
      <c r="V27" s="5">
        <f t="shared" si="2"/>
        <v>14.4</v>
      </c>
      <c r="W27" s="5" t="s">
        <v>10</v>
      </c>
      <c r="X27" s="5">
        <v>62</v>
      </c>
      <c r="Y27" s="5">
        <v>303</v>
      </c>
      <c r="Z27" s="5">
        <v>71</v>
      </c>
      <c r="AA27" s="5" t="s">
        <v>68</v>
      </c>
      <c r="AB27" s="5" t="s">
        <v>68</v>
      </c>
      <c r="AC27" s="5" t="s">
        <v>68</v>
      </c>
      <c r="AD27" s="5"/>
      <c r="AE27" s="5"/>
      <c r="AF27" s="5" t="s">
        <v>68</v>
      </c>
      <c r="AG27" s="5" t="s">
        <v>68</v>
      </c>
      <c r="AH27" s="12">
        <v>10610</v>
      </c>
      <c r="AI27" s="12" t="s">
        <v>68</v>
      </c>
      <c r="AJ27" s="12" t="s">
        <v>68</v>
      </c>
      <c r="AK27" s="12"/>
      <c r="AL27" s="12"/>
      <c r="AM27" s="12">
        <f>AH27+2704</f>
        <v>13314</v>
      </c>
      <c r="AN27" s="12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</row>
    <row r="28" spans="1:240" s="1" customFormat="1" ht="30" customHeight="1">
      <c r="A28" s="5">
        <v>26</v>
      </c>
      <c r="B28" s="5" t="s">
        <v>68</v>
      </c>
      <c r="C28" s="5"/>
      <c r="D28" s="5"/>
      <c r="E28" s="5">
        <v>3120</v>
      </c>
      <c r="F28" s="5">
        <v>2400</v>
      </c>
      <c r="G28" s="5">
        <v>1565</v>
      </c>
      <c r="H28" s="5">
        <v>656</v>
      </c>
      <c r="I28" s="5" t="s">
        <v>9</v>
      </c>
      <c r="J28" s="5">
        <v>61</v>
      </c>
      <c r="K28" s="10">
        <v>5</v>
      </c>
      <c r="L28" s="11">
        <v>319.60000000000002</v>
      </c>
      <c r="M28" s="31">
        <v>10</v>
      </c>
      <c r="N28" s="5">
        <v>69</v>
      </c>
      <c r="O28" s="5">
        <v>92400</v>
      </c>
      <c r="P28" s="5" t="s">
        <v>48</v>
      </c>
      <c r="Q28" s="5">
        <v>2</v>
      </c>
      <c r="R28" s="5">
        <v>4</v>
      </c>
      <c r="S28" s="5">
        <v>900</v>
      </c>
      <c r="T28" s="5">
        <v>716</v>
      </c>
      <c r="U28" s="5">
        <v>893</v>
      </c>
      <c r="V28" s="5">
        <f t="shared" si="2"/>
        <v>14.4</v>
      </c>
      <c r="W28" s="5" t="s">
        <v>10</v>
      </c>
      <c r="X28" s="5">
        <v>62</v>
      </c>
      <c r="Y28" s="5">
        <v>605</v>
      </c>
      <c r="Z28" s="5">
        <v>123</v>
      </c>
      <c r="AA28" s="5" t="s">
        <v>68</v>
      </c>
      <c r="AB28" s="5" t="s">
        <v>68</v>
      </c>
      <c r="AC28" s="5" t="s">
        <v>68</v>
      </c>
      <c r="AD28" s="5"/>
      <c r="AE28" s="5"/>
      <c r="AF28" s="5" t="s">
        <v>68</v>
      </c>
      <c r="AG28" s="5" t="s">
        <v>68</v>
      </c>
      <c r="AH28" s="12">
        <v>13429</v>
      </c>
      <c r="AI28" s="12" t="s">
        <v>68</v>
      </c>
      <c r="AJ28" s="12" t="s">
        <v>68</v>
      </c>
      <c r="AK28" s="12"/>
      <c r="AL28" s="12"/>
      <c r="AM28" s="12">
        <f>AH28+2704</f>
        <v>16133</v>
      </c>
      <c r="AN28" s="12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</row>
    <row r="29" spans="1:240" s="1" customFormat="1" ht="30" customHeight="1">
      <c r="A29" s="5">
        <v>27</v>
      </c>
      <c r="B29" s="5" t="s">
        <v>68</v>
      </c>
      <c r="C29" s="5"/>
      <c r="D29" s="5"/>
      <c r="E29" s="5">
        <v>4620</v>
      </c>
      <c r="F29" s="5">
        <v>2400</v>
      </c>
      <c r="G29" s="5">
        <v>1565</v>
      </c>
      <c r="H29" s="5">
        <v>901</v>
      </c>
      <c r="I29" s="5" t="s">
        <v>9</v>
      </c>
      <c r="J29" s="5">
        <v>82</v>
      </c>
      <c r="K29" s="10">
        <v>5</v>
      </c>
      <c r="L29" s="11">
        <v>429.6</v>
      </c>
      <c r="M29" s="31">
        <v>10</v>
      </c>
      <c r="N29" s="5">
        <v>41</v>
      </c>
      <c r="O29" s="5">
        <v>154800</v>
      </c>
      <c r="P29" s="5" t="s">
        <v>48</v>
      </c>
      <c r="Q29" s="5">
        <v>2</v>
      </c>
      <c r="R29" s="5">
        <v>6</v>
      </c>
      <c r="S29" s="5">
        <v>900</v>
      </c>
      <c r="T29" s="5">
        <v>716</v>
      </c>
      <c r="U29" s="5">
        <v>893</v>
      </c>
      <c r="V29" s="5">
        <f t="shared" si="2"/>
        <v>21.6</v>
      </c>
      <c r="W29" s="5" t="s">
        <v>10</v>
      </c>
      <c r="X29" s="5">
        <v>64</v>
      </c>
      <c r="Y29" s="5">
        <v>681</v>
      </c>
      <c r="Z29" s="5">
        <v>151</v>
      </c>
      <c r="AA29" s="5" t="s">
        <v>68</v>
      </c>
      <c r="AB29" s="5" t="s">
        <v>68</v>
      </c>
      <c r="AC29" s="5" t="s">
        <v>68</v>
      </c>
      <c r="AD29" s="5"/>
      <c r="AE29" s="5"/>
      <c r="AF29" s="5" t="s">
        <v>68</v>
      </c>
      <c r="AG29" s="5" t="s">
        <v>68</v>
      </c>
      <c r="AH29" s="12">
        <v>17500</v>
      </c>
      <c r="AI29" s="12" t="s">
        <v>68</v>
      </c>
      <c r="AJ29" s="12" t="s">
        <v>68</v>
      </c>
      <c r="AK29" s="12"/>
      <c r="AL29" s="12"/>
      <c r="AM29" s="12">
        <f>AH29+3709</f>
        <v>21209</v>
      </c>
      <c r="AN29" s="12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</row>
    <row r="30" spans="1:240" s="1" customFormat="1" ht="30" customHeight="1">
      <c r="A30" s="5">
        <v>28</v>
      </c>
      <c r="B30" s="5" t="s">
        <v>68</v>
      </c>
      <c r="C30" s="5"/>
      <c r="D30" s="5"/>
      <c r="E30" s="5">
        <v>6120</v>
      </c>
      <c r="F30" s="5">
        <v>2400</v>
      </c>
      <c r="G30" s="5">
        <v>1565</v>
      </c>
      <c r="H30" s="5">
        <v>1293</v>
      </c>
      <c r="I30" s="5" t="s">
        <v>9</v>
      </c>
      <c r="J30" s="5">
        <v>105.4</v>
      </c>
      <c r="K30" s="10">
        <v>5</v>
      </c>
      <c r="L30" s="11">
        <v>552.4</v>
      </c>
      <c r="M30" s="31">
        <v>10</v>
      </c>
      <c r="N30" s="5">
        <v>39</v>
      </c>
      <c r="O30" s="5">
        <v>206400</v>
      </c>
      <c r="P30" s="5" t="s">
        <v>48</v>
      </c>
      <c r="Q30" s="5">
        <v>2</v>
      </c>
      <c r="R30" s="5">
        <v>8</v>
      </c>
      <c r="S30" s="5">
        <v>900</v>
      </c>
      <c r="T30" s="5">
        <v>716</v>
      </c>
      <c r="U30" s="5">
        <v>893</v>
      </c>
      <c r="V30" s="5">
        <f t="shared" si="2"/>
        <v>28.8</v>
      </c>
      <c r="W30" s="5" t="s">
        <v>10</v>
      </c>
      <c r="X30" s="5">
        <v>65</v>
      </c>
      <c r="Y30" s="5">
        <v>1265</v>
      </c>
      <c r="Z30" s="5">
        <v>231</v>
      </c>
      <c r="AA30" s="5" t="s">
        <v>68</v>
      </c>
      <c r="AB30" s="5" t="s">
        <v>68</v>
      </c>
      <c r="AC30" s="5" t="s">
        <v>68</v>
      </c>
      <c r="AD30" s="5"/>
      <c r="AE30" s="5"/>
      <c r="AF30" s="5" t="s">
        <v>68</v>
      </c>
      <c r="AG30" s="5" t="s">
        <v>68</v>
      </c>
      <c r="AH30" s="12">
        <v>22724</v>
      </c>
      <c r="AI30" s="12" t="s">
        <v>68</v>
      </c>
      <c r="AJ30" s="12" t="s">
        <v>68</v>
      </c>
      <c r="AK30" s="12"/>
      <c r="AL30" s="12"/>
      <c r="AM30" s="12">
        <f>AH30+4114</f>
        <v>26838</v>
      </c>
      <c r="AN30" s="12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</row>
    <row r="31" spans="1:240" s="1" customFormat="1" ht="30" customHeight="1">
      <c r="A31" s="5">
        <v>29</v>
      </c>
      <c r="B31" s="5" t="s">
        <v>68</v>
      </c>
      <c r="C31" s="5"/>
      <c r="D31" s="5"/>
      <c r="E31" s="5">
        <v>7620</v>
      </c>
      <c r="F31" s="5">
        <v>2400</v>
      </c>
      <c r="G31" s="5">
        <v>1565</v>
      </c>
      <c r="H31" s="5">
        <v>1589</v>
      </c>
      <c r="I31" s="5" t="s">
        <v>9</v>
      </c>
      <c r="J31" s="5">
        <v>136.5</v>
      </c>
      <c r="K31" s="10">
        <v>5</v>
      </c>
      <c r="L31" s="11">
        <v>715.1</v>
      </c>
      <c r="M31" s="31">
        <v>10</v>
      </c>
      <c r="N31" s="5">
        <v>77</v>
      </c>
      <c r="O31" s="5">
        <v>258000</v>
      </c>
      <c r="P31" s="5" t="s">
        <v>48</v>
      </c>
      <c r="Q31" s="5">
        <v>2</v>
      </c>
      <c r="R31" s="5">
        <v>10</v>
      </c>
      <c r="S31" s="5">
        <v>900</v>
      </c>
      <c r="T31" s="5">
        <v>716</v>
      </c>
      <c r="U31" s="5">
        <v>893</v>
      </c>
      <c r="V31" s="5">
        <f t="shared" si="2"/>
        <v>36</v>
      </c>
      <c r="W31" s="5" t="s">
        <v>10</v>
      </c>
      <c r="X31" s="5">
        <v>65</v>
      </c>
      <c r="Y31" s="5">
        <v>1581</v>
      </c>
      <c r="Z31" s="5">
        <v>280</v>
      </c>
      <c r="AA31" s="5" t="s">
        <v>68</v>
      </c>
      <c r="AB31" s="5" t="s">
        <v>68</v>
      </c>
      <c r="AC31" s="5" t="s">
        <v>68</v>
      </c>
      <c r="AD31" s="5"/>
      <c r="AE31" s="5"/>
      <c r="AF31" s="5" t="s">
        <v>68</v>
      </c>
      <c r="AG31" s="5" t="s">
        <v>68</v>
      </c>
      <c r="AH31" s="12">
        <v>27674</v>
      </c>
      <c r="AI31" s="12" t="s">
        <v>68</v>
      </c>
      <c r="AJ31" s="12" t="s">
        <v>68</v>
      </c>
      <c r="AK31" s="12"/>
      <c r="AL31" s="12"/>
      <c r="AM31" s="12">
        <f>AH31+4185</f>
        <v>31859</v>
      </c>
      <c r="AN31" s="12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</row>
    <row r="32" spans="1:240" s="1" customFormat="1" ht="30" customHeight="1">
      <c r="A32" s="5">
        <v>30</v>
      </c>
      <c r="B32" s="5" t="s">
        <v>68</v>
      </c>
      <c r="C32" s="5"/>
      <c r="D32" s="5"/>
      <c r="E32" s="5">
        <v>9120</v>
      </c>
      <c r="F32" s="5">
        <v>2400</v>
      </c>
      <c r="G32" s="5">
        <v>1565</v>
      </c>
      <c r="H32" s="5">
        <v>1902</v>
      </c>
      <c r="I32" s="5" t="s">
        <v>9</v>
      </c>
      <c r="J32" s="5">
        <v>181</v>
      </c>
      <c r="K32" s="10">
        <v>5</v>
      </c>
      <c r="L32" s="11">
        <v>948.7</v>
      </c>
      <c r="M32" s="31">
        <v>10</v>
      </c>
      <c r="N32" s="5">
        <v>91</v>
      </c>
      <c r="O32" s="5">
        <v>240000</v>
      </c>
      <c r="P32" s="5" t="s">
        <v>48</v>
      </c>
      <c r="Q32" s="5">
        <v>2</v>
      </c>
      <c r="R32" s="5">
        <v>12</v>
      </c>
      <c r="S32" s="5">
        <v>900</v>
      </c>
      <c r="T32" s="5">
        <v>716</v>
      </c>
      <c r="U32" s="5">
        <v>893</v>
      </c>
      <c r="V32" s="5">
        <f t="shared" si="2"/>
        <v>43.2</v>
      </c>
      <c r="W32" s="5" t="s">
        <v>10</v>
      </c>
      <c r="X32" s="5" t="s">
        <v>48</v>
      </c>
      <c r="Y32" s="5">
        <v>2529</v>
      </c>
      <c r="Z32" s="5">
        <v>329</v>
      </c>
      <c r="AA32" s="5" t="s">
        <v>68</v>
      </c>
      <c r="AB32" s="5" t="s">
        <v>68</v>
      </c>
      <c r="AC32" s="5" t="s">
        <v>68</v>
      </c>
      <c r="AD32" s="5"/>
      <c r="AE32" s="5"/>
      <c r="AF32" s="5" t="s">
        <v>68</v>
      </c>
      <c r="AG32" s="5" t="s">
        <v>68</v>
      </c>
      <c r="AH32" s="12">
        <v>36511</v>
      </c>
      <c r="AI32" s="12" t="s">
        <v>68</v>
      </c>
      <c r="AJ32" s="12" t="s">
        <v>68</v>
      </c>
      <c r="AK32" s="12"/>
      <c r="AL32" s="12"/>
      <c r="AM32" s="12">
        <f>AH32+5790</f>
        <v>42301</v>
      </c>
      <c r="AN32" s="12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</row>
    <row r="33" spans="1:240" s="1" customFormat="1" ht="30" customHeight="1">
      <c r="A33" s="5">
        <v>31</v>
      </c>
      <c r="B33" s="5" t="s">
        <v>68</v>
      </c>
      <c r="C33" s="5"/>
      <c r="D33" s="5"/>
      <c r="E33" s="5">
        <v>10620</v>
      </c>
      <c r="F33" s="5">
        <v>2400</v>
      </c>
      <c r="G33" s="5">
        <v>1565</v>
      </c>
      <c r="H33" s="5">
        <v>2426</v>
      </c>
      <c r="I33" s="5" t="s">
        <v>9</v>
      </c>
      <c r="J33" s="5">
        <v>214.5</v>
      </c>
      <c r="K33" s="10">
        <v>5</v>
      </c>
      <c r="L33" s="11">
        <v>1123.9000000000001</v>
      </c>
      <c r="M33" s="31">
        <v>10</v>
      </c>
      <c r="N33" s="5">
        <v>143</v>
      </c>
      <c r="O33" s="5">
        <v>323400</v>
      </c>
      <c r="P33" s="5" t="s">
        <v>48</v>
      </c>
      <c r="Q33" s="5">
        <v>2</v>
      </c>
      <c r="R33" s="5">
        <v>14</v>
      </c>
      <c r="S33" s="5">
        <v>900</v>
      </c>
      <c r="T33" s="5">
        <v>716</v>
      </c>
      <c r="U33" s="5">
        <v>893</v>
      </c>
      <c r="V33" s="5">
        <f t="shared" si="2"/>
        <v>50.4</v>
      </c>
      <c r="W33" s="5" t="s">
        <v>10</v>
      </c>
      <c r="X33" s="5">
        <v>66</v>
      </c>
      <c r="Y33" s="5">
        <v>2951</v>
      </c>
      <c r="Z33" s="5">
        <v>492</v>
      </c>
      <c r="AA33" s="5" t="s">
        <v>68</v>
      </c>
      <c r="AB33" s="5" t="s">
        <v>68</v>
      </c>
      <c r="AC33" s="5" t="s">
        <v>68</v>
      </c>
      <c r="AD33" s="5"/>
      <c r="AE33" s="5"/>
      <c r="AF33" s="5" t="s">
        <v>68</v>
      </c>
      <c r="AG33" s="5" t="s">
        <v>68</v>
      </c>
      <c r="AH33" s="12">
        <v>41847</v>
      </c>
      <c r="AI33" s="12" t="s">
        <v>68</v>
      </c>
      <c r="AJ33" s="12" t="s">
        <v>68</v>
      </c>
      <c r="AK33" s="12"/>
      <c r="AL33" s="12"/>
      <c r="AM33" s="12">
        <f>AH33+6195</f>
        <v>48042</v>
      </c>
      <c r="AN33" s="12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</row>
    <row r="34" spans="1:240" s="1" customFormat="1" ht="30" customHeight="1">
      <c r="A34" s="5">
        <v>32</v>
      </c>
      <c r="B34" s="5" t="s">
        <v>68</v>
      </c>
      <c r="C34" s="5"/>
      <c r="D34" s="5"/>
      <c r="E34" s="5">
        <v>4320</v>
      </c>
      <c r="F34" s="5">
        <v>1181</v>
      </c>
      <c r="G34" s="5">
        <v>1804</v>
      </c>
      <c r="H34" s="5">
        <v>744</v>
      </c>
      <c r="I34" s="5" t="s">
        <v>9</v>
      </c>
      <c r="J34" s="5">
        <v>48.6</v>
      </c>
      <c r="K34" s="10">
        <v>5</v>
      </c>
      <c r="L34" s="11">
        <v>254.6</v>
      </c>
      <c r="M34" s="31">
        <v>10</v>
      </c>
      <c r="N34" s="5">
        <v>26</v>
      </c>
      <c r="O34" s="5">
        <v>101400</v>
      </c>
      <c r="P34" s="5" t="s">
        <v>48</v>
      </c>
      <c r="Q34" s="5">
        <v>1</v>
      </c>
      <c r="R34" s="5">
        <v>3</v>
      </c>
      <c r="S34" s="5">
        <v>900</v>
      </c>
      <c r="T34" s="5">
        <v>716</v>
      </c>
      <c r="U34" s="5">
        <v>893</v>
      </c>
      <c r="V34" s="5">
        <f t="shared" si="2"/>
        <v>10.8</v>
      </c>
      <c r="W34" s="5" t="s">
        <v>10</v>
      </c>
      <c r="X34" s="5">
        <v>61</v>
      </c>
      <c r="Y34" s="5">
        <v>468</v>
      </c>
      <c r="Z34" s="5">
        <v>95</v>
      </c>
      <c r="AA34" s="5" t="s">
        <v>68</v>
      </c>
      <c r="AB34" s="5"/>
      <c r="AC34" s="5"/>
      <c r="AD34" s="5"/>
      <c r="AE34" s="5"/>
      <c r="AF34" s="5" t="s">
        <v>68</v>
      </c>
      <c r="AG34" s="5"/>
      <c r="AH34" s="12">
        <v>13983</v>
      </c>
      <c r="AI34" s="12" t="s">
        <v>68</v>
      </c>
      <c r="AJ34" s="12" t="s">
        <v>68</v>
      </c>
      <c r="AK34" s="12"/>
      <c r="AL34" s="12"/>
      <c r="AM34" s="12">
        <f>AH34+1672</f>
        <v>15655</v>
      </c>
      <c r="AN34" s="12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</row>
    <row r="35" spans="1:240" s="1" customFormat="1" ht="30" customHeight="1">
      <c r="A35" s="5">
        <v>33</v>
      </c>
      <c r="B35" s="5" t="s">
        <v>68</v>
      </c>
      <c r="C35" s="5"/>
      <c r="D35" s="5"/>
      <c r="E35" s="5">
        <v>5720</v>
      </c>
      <c r="F35" s="5">
        <v>1181</v>
      </c>
      <c r="G35" s="5">
        <v>1804</v>
      </c>
      <c r="H35" s="5">
        <v>1058</v>
      </c>
      <c r="I35" s="5" t="s">
        <v>9</v>
      </c>
      <c r="J35" s="5">
        <v>82</v>
      </c>
      <c r="K35" s="10">
        <v>5</v>
      </c>
      <c r="L35" s="11">
        <v>429.9</v>
      </c>
      <c r="M35" s="31">
        <v>10</v>
      </c>
      <c r="N35" s="5">
        <v>43</v>
      </c>
      <c r="O35" s="5">
        <v>129600</v>
      </c>
      <c r="P35" s="5" t="s">
        <v>48</v>
      </c>
      <c r="Q35" s="5">
        <v>1</v>
      </c>
      <c r="R35" s="5">
        <v>4</v>
      </c>
      <c r="S35" s="5">
        <v>900</v>
      </c>
      <c r="T35" s="5">
        <v>716</v>
      </c>
      <c r="U35" s="5">
        <v>893</v>
      </c>
      <c r="V35" s="5">
        <f t="shared" si="2"/>
        <v>14.4</v>
      </c>
      <c r="W35" s="5" t="s">
        <v>10</v>
      </c>
      <c r="X35" s="5">
        <v>62</v>
      </c>
      <c r="Y35" s="5">
        <v>936</v>
      </c>
      <c r="Z35" s="5">
        <v>175</v>
      </c>
      <c r="AA35" s="5" t="s">
        <v>68</v>
      </c>
      <c r="AB35" s="5"/>
      <c r="AC35" s="5"/>
      <c r="AD35" s="5"/>
      <c r="AE35" s="5"/>
      <c r="AF35" s="5" t="s">
        <v>68</v>
      </c>
      <c r="AG35" s="5"/>
      <c r="AH35" s="12">
        <v>20190</v>
      </c>
      <c r="AI35" s="12" t="s">
        <v>68</v>
      </c>
      <c r="AJ35" s="12" t="s">
        <v>68</v>
      </c>
      <c r="AK35" s="12"/>
      <c r="AL35" s="12"/>
      <c r="AM35" s="12">
        <f>AH35+1875</f>
        <v>22065</v>
      </c>
      <c r="AN35" s="12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</row>
    <row r="36" spans="1:240" s="1" customFormat="1" ht="30" customHeight="1">
      <c r="A36" s="5">
        <v>34</v>
      </c>
      <c r="B36" s="5" t="s">
        <v>68</v>
      </c>
      <c r="C36" s="5"/>
      <c r="D36" s="5"/>
      <c r="E36" s="5">
        <v>7120</v>
      </c>
      <c r="F36" s="5">
        <v>1181</v>
      </c>
      <c r="G36" s="5">
        <v>1804</v>
      </c>
      <c r="H36" s="5">
        <v>1583</v>
      </c>
      <c r="I36" s="5" t="s">
        <v>9</v>
      </c>
      <c r="J36" s="5">
        <v>111.1</v>
      </c>
      <c r="K36" s="10">
        <v>5</v>
      </c>
      <c r="L36" s="11">
        <v>582.70000000000005</v>
      </c>
      <c r="M36" s="31">
        <v>10</v>
      </c>
      <c r="N36" s="5">
        <v>25</v>
      </c>
      <c r="O36" s="5">
        <v>156500</v>
      </c>
      <c r="P36" s="5" t="s">
        <v>48</v>
      </c>
      <c r="Q36" s="5">
        <v>1</v>
      </c>
      <c r="R36" s="5">
        <v>5</v>
      </c>
      <c r="S36" s="5">
        <v>900</v>
      </c>
      <c r="T36" s="5">
        <v>716</v>
      </c>
      <c r="U36" s="5">
        <v>893</v>
      </c>
      <c r="V36" s="5">
        <f t="shared" si="2"/>
        <v>18</v>
      </c>
      <c r="W36" s="5" t="s">
        <v>10</v>
      </c>
      <c r="X36" s="5">
        <v>63</v>
      </c>
      <c r="Y36" s="5">
        <v>2186</v>
      </c>
      <c r="Z36" s="5">
        <v>378</v>
      </c>
      <c r="AA36" s="5" t="s">
        <v>68</v>
      </c>
      <c r="AB36" s="5"/>
      <c r="AC36" s="5"/>
      <c r="AD36" s="5"/>
      <c r="AE36" s="5"/>
      <c r="AF36" s="5" t="s">
        <v>68</v>
      </c>
      <c r="AG36" s="5"/>
      <c r="AH36" s="12">
        <v>29624</v>
      </c>
      <c r="AI36" s="12" t="s">
        <v>68</v>
      </c>
      <c r="AJ36" s="12" t="s">
        <v>68</v>
      </c>
      <c r="AK36" s="12"/>
      <c r="AL36" s="12"/>
      <c r="AM36" s="12">
        <f>AH36+2077</f>
        <v>31701</v>
      </c>
      <c r="AN36" s="12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</row>
    <row r="37" spans="1:240" s="1" customFormat="1" ht="30" customHeight="1">
      <c r="A37" s="5">
        <v>35</v>
      </c>
      <c r="B37" s="5" t="s">
        <v>68</v>
      </c>
      <c r="C37" s="5"/>
      <c r="D37" s="5"/>
      <c r="E37" s="5">
        <v>8520</v>
      </c>
      <c r="F37" s="5">
        <v>1181</v>
      </c>
      <c r="G37" s="5">
        <v>1804</v>
      </c>
      <c r="H37" s="5">
        <v>1878</v>
      </c>
      <c r="I37" s="5" t="s">
        <v>9</v>
      </c>
      <c r="J37" s="5">
        <v>136.30000000000001</v>
      </c>
      <c r="K37" s="10">
        <v>5</v>
      </c>
      <c r="L37" s="11">
        <v>714.6</v>
      </c>
      <c r="M37" s="31">
        <v>10</v>
      </c>
      <c r="N37" s="5">
        <v>43</v>
      </c>
      <c r="O37" s="5">
        <v>187800</v>
      </c>
      <c r="P37" s="5" t="s">
        <v>48</v>
      </c>
      <c r="Q37" s="5">
        <v>1</v>
      </c>
      <c r="R37" s="5">
        <v>6</v>
      </c>
      <c r="S37" s="5">
        <v>900</v>
      </c>
      <c r="T37" s="5">
        <v>716</v>
      </c>
      <c r="U37" s="5">
        <v>893</v>
      </c>
      <c r="V37" s="5">
        <f t="shared" si="2"/>
        <v>21.6</v>
      </c>
      <c r="W37" s="5" t="s">
        <v>10</v>
      </c>
      <c r="X37" s="5">
        <v>63</v>
      </c>
      <c r="Y37" s="5">
        <v>2623</v>
      </c>
      <c r="Z37" s="5">
        <v>445</v>
      </c>
      <c r="AA37" s="5" t="s">
        <v>68</v>
      </c>
      <c r="AB37" s="5"/>
      <c r="AC37" s="5"/>
      <c r="AD37" s="5"/>
      <c r="AE37" s="5"/>
      <c r="AF37" s="5" t="s">
        <v>68</v>
      </c>
      <c r="AG37" s="5"/>
      <c r="AH37" s="12">
        <v>34486</v>
      </c>
      <c r="AI37" s="12" t="s">
        <v>68</v>
      </c>
      <c r="AJ37" s="12" t="s">
        <v>68</v>
      </c>
      <c r="AK37" s="12"/>
      <c r="AL37" s="12"/>
      <c r="AM37" s="12">
        <f>AH37+2879</f>
        <v>37365</v>
      </c>
      <c r="AN37" s="12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</row>
    <row r="38" spans="1:240" s="1" customFormat="1" ht="30" customHeight="1">
      <c r="A38" s="5">
        <v>36</v>
      </c>
      <c r="B38" s="5" t="s">
        <v>68</v>
      </c>
      <c r="C38" s="5"/>
      <c r="D38" s="5"/>
      <c r="E38" s="5">
        <v>9920</v>
      </c>
      <c r="F38" s="5">
        <v>1181</v>
      </c>
      <c r="G38" s="5">
        <v>1804</v>
      </c>
      <c r="H38" s="5">
        <v>2173</v>
      </c>
      <c r="I38" s="5" t="s">
        <v>9</v>
      </c>
      <c r="J38" s="5">
        <v>161.4</v>
      </c>
      <c r="K38" s="10">
        <v>5</v>
      </c>
      <c r="L38" s="11">
        <v>846.3</v>
      </c>
      <c r="M38" s="31">
        <v>10</v>
      </c>
      <c r="N38" s="5">
        <v>68</v>
      </c>
      <c r="O38" s="5">
        <v>219100</v>
      </c>
      <c r="P38" s="5" t="s">
        <v>48</v>
      </c>
      <c r="Q38" s="5">
        <v>1</v>
      </c>
      <c r="R38" s="5">
        <v>7</v>
      </c>
      <c r="S38" s="5">
        <v>900</v>
      </c>
      <c r="T38" s="5">
        <v>716</v>
      </c>
      <c r="U38" s="5">
        <v>893</v>
      </c>
      <c r="V38" s="5">
        <f t="shared" si="2"/>
        <v>25.2</v>
      </c>
      <c r="W38" s="5" t="s">
        <v>10</v>
      </c>
      <c r="X38" s="5">
        <v>63</v>
      </c>
      <c r="Y38" s="5">
        <v>3060</v>
      </c>
      <c r="Z38" s="5">
        <v>513</v>
      </c>
      <c r="AA38" s="5" t="s">
        <v>68</v>
      </c>
      <c r="AB38" s="5"/>
      <c r="AC38" s="5"/>
      <c r="AD38" s="5"/>
      <c r="AE38" s="5"/>
      <c r="AF38" s="5" t="s">
        <v>68</v>
      </c>
      <c r="AG38" s="5"/>
      <c r="AH38" s="12">
        <v>39308</v>
      </c>
      <c r="AI38" s="12" t="s">
        <v>68</v>
      </c>
      <c r="AJ38" s="12" t="s">
        <v>68</v>
      </c>
      <c r="AK38" s="12"/>
      <c r="AL38" s="12"/>
      <c r="AM38" s="12">
        <f>AH38+3082</f>
        <v>42390</v>
      </c>
      <c r="AN38" s="12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</row>
    <row r="39" spans="1:240" s="1" customFormat="1" ht="30" customHeight="1">
      <c r="A39" s="5">
        <v>37</v>
      </c>
      <c r="B39" s="5" t="s">
        <v>68</v>
      </c>
      <c r="C39" s="5"/>
      <c r="D39" s="5"/>
      <c r="E39" s="5">
        <v>4044</v>
      </c>
      <c r="F39" s="5">
        <v>1181</v>
      </c>
      <c r="G39" s="5">
        <v>1804</v>
      </c>
      <c r="H39" s="5">
        <v>700</v>
      </c>
      <c r="I39" s="5" t="s">
        <v>9</v>
      </c>
      <c r="J39" s="5">
        <v>33.1</v>
      </c>
      <c r="K39" s="10">
        <v>5</v>
      </c>
      <c r="L39" s="11">
        <v>173.4</v>
      </c>
      <c r="M39" s="31">
        <v>10</v>
      </c>
      <c r="N39" s="5">
        <v>24</v>
      </c>
      <c r="O39" s="5">
        <v>65937</v>
      </c>
      <c r="P39" s="5" t="s">
        <v>48</v>
      </c>
      <c r="Q39" s="5">
        <v>1</v>
      </c>
      <c r="R39" s="5">
        <v>2</v>
      </c>
      <c r="S39" s="5">
        <v>900</v>
      </c>
      <c r="T39" s="5">
        <v>716</v>
      </c>
      <c r="U39" s="5">
        <v>893</v>
      </c>
      <c r="V39" s="5">
        <f t="shared" si="2"/>
        <v>7.2</v>
      </c>
      <c r="W39" s="5" t="s">
        <v>10</v>
      </c>
      <c r="X39" s="5">
        <v>59</v>
      </c>
      <c r="Y39" s="5">
        <v>648</v>
      </c>
      <c r="Z39" s="5">
        <v>54</v>
      </c>
      <c r="AA39" s="5" t="s">
        <v>68</v>
      </c>
      <c r="AB39" s="5"/>
      <c r="AC39" s="5"/>
      <c r="AD39" s="5"/>
      <c r="AE39" s="5"/>
      <c r="AF39" s="5" t="s">
        <v>68</v>
      </c>
      <c r="AG39" s="5"/>
      <c r="AH39" s="12">
        <v>11230</v>
      </c>
      <c r="AI39" s="12" t="s">
        <v>68</v>
      </c>
      <c r="AJ39" s="12" t="s">
        <v>68</v>
      </c>
      <c r="AK39" s="12"/>
      <c r="AL39" s="12"/>
      <c r="AM39" s="12">
        <f>AH39+1454</f>
        <v>12684</v>
      </c>
      <c r="AN39" s="12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</row>
    <row r="40" spans="1:240" s="1" customFormat="1" ht="30" customHeight="1">
      <c r="A40" s="5">
        <v>38</v>
      </c>
      <c r="B40" s="5" t="s">
        <v>68</v>
      </c>
      <c r="C40" s="5"/>
      <c r="D40" s="5"/>
      <c r="E40" s="5">
        <v>6004</v>
      </c>
      <c r="F40" s="5">
        <v>1181</v>
      </c>
      <c r="G40" s="5">
        <v>1804</v>
      </c>
      <c r="H40" s="5">
        <v>983</v>
      </c>
      <c r="I40" s="5" t="s">
        <v>9</v>
      </c>
      <c r="J40" s="5">
        <v>52.7</v>
      </c>
      <c r="K40" s="10">
        <v>5</v>
      </c>
      <c r="L40" s="11">
        <v>276.3</v>
      </c>
      <c r="M40" s="31">
        <v>10</v>
      </c>
      <c r="N40" s="5">
        <v>81</v>
      </c>
      <c r="O40" s="5">
        <v>98906</v>
      </c>
      <c r="P40" s="5" t="s">
        <v>48</v>
      </c>
      <c r="Q40" s="5">
        <v>1</v>
      </c>
      <c r="R40" s="5">
        <v>3</v>
      </c>
      <c r="S40" s="5">
        <v>900</v>
      </c>
      <c r="T40" s="5">
        <v>716</v>
      </c>
      <c r="U40" s="5">
        <v>893</v>
      </c>
      <c r="V40" s="5">
        <f t="shared" si="2"/>
        <v>10.8</v>
      </c>
      <c r="W40" s="5" t="s">
        <v>10</v>
      </c>
      <c r="X40" s="5">
        <v>61</v>
      </c>
      <c r="Y40" s="5">
        <v>971</v>
      </c>
      <c r="Z40" s="5">
        <v>80</v>
      </c>
      <c r="AA40" s="5" t="s">
        <v>68</v>
      </c>
      <c r="AB40" s="5"/>
      <c r="AC40" s="5"/>
      <c r="AD40" s="5"/>
      <c r="AE40" s="5"/>
      <c r="AF40" s="5" t="s">
        <v>68</v>
      </c>
      <c r="AG40" s="5"/>
      <c r="AH40" s="12">
        <v>14534</v>
      </c>
      <c r="AI40" s="12" t="s">
        <v>68</v>
      </c>
      <c r="AJ40" s="12" t="s">
        <v>68</v>
      </c>
      <c r="AK40" s="12"/>
      <c r="AL40" s="12"/>
      <c r="AM40" s="12">
        <f>AH40+1737</f>
        <v>16271</v>
      </c>
      <c r="AN40" s="12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</row>
    <row r="41" spans="1:240" s="1" customFormat="1" ht="30" customHeight="1">
      <c r="A41" s="5">
        <v>39</v>
      </c>
      <c r="B41" s="5" t="s">
        <v>68</v>
      </c>
      <c r="C41" s="5"/>
      <c r="D41" s="5"/>
      <c r="E41" s="5">
        <v>7964</v>
      </c>
      <c r="F41" s="5">
        <v>1181</v>
      </c>
      <c r="G41" s="5">
        <v>1804</v>
      </c>
      <c r="H41" s="5">
        <v>1332</v>
      </c>
      <c r="I41" s="5" t="s">
        <v>9</v>
      </c>
      <c r="J41" s="5">
        <v>74.5</v>
      </c>
      <c r="K41" s="10">
        <v>5</v>
      </c>
      <c r="L41" s="11">
        <v>390.4</v>
      </c>
      <c r="M41" s="31">
        <v>10</v>
      </c>
      <c r="N41" s="5">
        <v>47</v>
      </c>
      <c r="O41" s="5">
        <v>130915</v>
      </c>
      <c r="P41" s="5" t="s">
        <v>48</v>
      </c>
      <c r="Q41" s="5">
        <v>1</v>
      </c>
      <c r="R41" s="5">
        <v>4</v>
      </c>
      <c r="S41" s="5">
        <v>900</v>
      </c>
      <c r="T41" s="5">
        <v>716</v>
      </c>
      <c r="U41" s="5">
        <v>893</v>
      </c>
      <c r="V41" s="5">
        <f t="shared" si="2"/>
        <v>14.4</v>
      </c>
      <c r="W41" s="5" t="s">
        <v>10</v>
      </c>
      <c r="X41" s="5">
        <v>62</v>
      </c>
      <c r="Y41" s="5">
        <v>1224</v>
      </c>
      <c r="Z41" s="5">
        <v>187</v>
      </c>
      <c r="AA41" s="5" t="s">
        <v>68</v>
      </c>
      <c r="AB41" s="5"/>
      <c r="AC41" s="5"/>
      <c r="AD41" s="5"/>
      <c r="AE41" s="5"/>
      <c r="AF41" s="5" t="s">
        <v>68</v>
      </c>
      <c r="AG41" s="5"/>
      <c r="AH41" s="12">
        <v>19794</v>
      </c>
      <c r="AI41" s="12" t="s">
        <v>68</v>
      </c>
      <c r="AJ41" s="12" t="s">
        <v>68</v>
      </c>
      <c r="AK41" s="12"/>
      <c r="AL41" s="12"/>
      <c r="AM41" s="12">
        <f>AH41+1940</f>
        <v>21734</v>
      </c>
      <c r="AN41" s="12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</row>
    <row r="42" spans="1:240" s="1" customFormat="1" ht="30" customHeight="1">
      <c r="A42" s="5">
        <v>40</v>
      </c>
      <c r="B42" s="5" t="s">
        <v>68</v>
      </c>
      <c r="C42" s="5"/>
      <c r="D42" s="5"/>
      <c r="E42" s="5">
        <v>9924</v>
      </c>
      <c r="F42" s="5">
        <v>1181</v>
      </c>
      <c r="G42" s="5">
        <v>1804</v>
      </c>
      <c r="H42" s="5">
        <v>1630</v>
      </c>
      <c r="I42" s="5" t="s">
        <v>9</v>
      </c>
      <c r="J42" s="5">
        <v>95.5</v>
      </c>
      <c r="K42" s="10">
        <v>5</v>
      </c>
      <c r="L42" s="11">
        <v>500.5</v>
      </c>
      <c r="M42" s="31">
        <v>10</v>
      </c>
      <c r="N42" s="5">
        <v>91</v>
      </c>
      <c r="O42" s="5">
        <v>163643</v>
      </c>
      <c r="P42" s="5" t="s">
        <v>48</v>
      </c>
      <c r="Q42" s="5">
        <v>1</v>
      </c>
      <c r="R42" s="5">
        <v>5</v>
      </c>
      <c r="S42" s="5">
        <v>900</v>
      </c>
      <c r="T42" s="5">
        <v>716</v>
      </c>
      <c r="U42" s="5">
        <v>893</v>
      </c>
      <c r="V42" s="5">
        <f t="shared" si="2"/>
        <v>18</v>
      </c>
      <c r="W42" s="5" t="s">
        <v>10</v>
      </c>
      <c r="X42" s="5">
        <v>62</v>
      </c>
      <c r="Y42" s="5">
        <v>1530</v>
      </c>
      <c r="Z42" s="5">
        <v>234</v>
      </c>
      <c r="AA42" s="5" t="s">
        <v>68</v>
      </c>
      <c r="AB42" s="5"/>
      <c r="AC42" s="5"/>
      <c r="AD42" s="5"/>
      <c r="AE42" s="5"/>
      <c r="AF42" s="5" t="s">
        <v>68</v>
      </c>
      <c r="AG42" s="5"/>
      <c r="AH42" s="12">
        <v>23522</v>
      </c>
      <c r="AI42" s="12" t="s">
        <v>68</v>
      </c>
      <c r="AJ42" s="12" t="s">
        <v>68</v>
      </c>
      <c r="AK42" s="12"/>
      <c r="AL42" s="12"/>
      <c r="AM42" s="12">
        <f>AH42+2142</f>
        <v>25664</v>
      </c>
      <c r="AN42" s="12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</row>
    <row r="43" spans="1:240" s="1" customFormat="1" ht="30" customHeight="1">
      <c r="A43" s="5">
        <v>41</v>
      </c>
      <c r="B43" s="5" t="s">
        <v>68</v>
      </c>
      <c r="C43" s="5"/>
      <c r="D43" s="5"/>
      <c r="E43" s="5">
        <v>9924</v>
      </c>
      <c r="F43" s="5">
        <v>1181</v>
      </c>
      <c r="G43" s="5">
        <v>1804</v>
      </c>
      <c r="H43" s="5">
        <v>2074</v>
      </c>
      <c r="I43" s="5" t="s">
        <v>9</v>
      </c>
      <c r="J43" s="5">
        <v>124.1</v>
      </c>
      <c r="K43" s="10">
        <v>5</v>
      </c>
      <c r="L43" s="11">
        <v>650.6</v>
      </c>
      <c r="M43" s="31">
        <v>10</v>
      </c>
      <c r="N43" s="5">
        <v>42</v>
      </c>
      <c r="O43" s="5">
        <v>157390</v>
      </c>
      <c r="P43" s="5" t="s">
        <v>48</v>
      </c>
      <c r="Q43" s="5">
        <v>1</v>
      </c>
      <c r="R43" s="5">
        <v>5</v>
      </c>
      <c r="S43" s="5">
        <v>900</v>
      </c>
      <c r="T43" s="5">
        <v>716</v>
      </c>
      <c r="U43" s="5">
        <v>893</v>
      </c>
      <c r="V43" s="5">
        <f t="shared" si="2"/>
        <v>18</v>
      </c>
      <c r="W43" s="5" t="s">
        <v>10</v>
      </c>
      <c r="X43" s="5">
        <v>62</v>
      </c>
      <c r="Y43" s="5">
        <v>3060</v>
      </c>
      <c r="Z43" s="5">
        <v>468</v>
      </c>
      <c r="AA43" s="5" t="s">
        <v>68</v>
      </c>
      <c r="AB43" s="5"/>
      <c r="AC43" s="5"/>
      <c r="AD43" s="5"/>
      <c r="AE43" s="5"/>
      <c r="AF43" s="5" t="s">
        <v>68</v>
      </c>
      <c r="AG43" s="5"/>
      <c r="AH43" s="12">
        <v>34415</v>
      </c>
      <c r="AI43" s="12" t="s">
        <v>68</v>
      </c>
      <c r="AJ43" s="12" t="s">
        <v>68</v>
      </c>
      <c r="AK43" s="12"/>
      <c r="AL43" s="12"/>
      <c r="AM43" s="12">
        <f>AH43+2142</f>
        <v>36557</v>
      </c>
      <c r="AN43" s="12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</row>
    <row r="44" spans="1:240" s="1" customFormat="1" ht="30" customHeight="1">
      <c r="A44" s="5">
        <v>42</v>
      </c>
      <c r="B44" s="5" t="s">
        <v>68</v>
      </c>
      <c r="C44" s="5"/>
      <c r="D44" s="5"/>
      <c r="E44" s="5">
        <v>2920</v>
      </c>
      <c r="F44" s="5">
        <v>1181</v>
      </c>
      <c r="G44" s="5">
        <v>1804</v>
      </c>
      <c r="H44" s="5">
        <v>527</v>
      </c>
      <c r="I44" s="5" t="s">
        <v>9</v>
      </c>
      <c r="J44" s="5">
        <v>33.799999999999997</v>
      </c>
      <c r="K44" s="10">
        <v>5</v>
      </c>
      <c r="L44" s="11">
        <v>177.3</v>
      </c>
      <c r="M44" s="31">
        <v>10</v>
      </c>
      <c r="N44" s="5">
        <v>65</v>
      </c>
      <c r="O44" s="5">
        <v>67600</v>
      </c>
      <c r="P44" s="5" t="s">
        <v>48</v>
      </c>
      <c r="Q44" s="5">
        <v>1</v>
      </c>
      <c r="R44" s="5">
        <v>2</v>
      </c>
      <c r="S44" s="5">
        <v>900</v>
      </c>
      <c r="T44" s="5">
        <v>716</v>
      </c>
      <c r="U44" s="5">
        <v>893</v>
      </c>
      <c r="V44" s="5">
        <f t="shared" si="2"/>
        <v>7.2</v>
      </c>
      <c r="W44" s="5" t="s">
        <v>10</v>
      </c>
      <c r="X44" s="5">
        <v>59</v>
      </c>
      <c r="Y44" s="5">
        <v>312</v>
      </c>
      <c r="Z44" s="5">
        <v>63</v>
      </c>
      <c r="AA44" s="5" t="s">
        <v>68</v>
      </c>
      <c r="AB44" s="5"/>
      <c r="AC44" s="5"/>
      <c r="AD44" s="5"/>
      <c r="AE44" s="5"/>
      <c r="AF44" s="5" t="s">
        <v>68</v>
      </c>
      <c r="AG44" s="5"/>
      <c r="AH44" s="12">
        <v>9994</v>
      </c>
      <c r="AI44" s="12" t="s">
        <v>68</v>
      </c>
      <c r="AJ44" s="12" t="s">
        <v>68</v>
      </c>
      <c r="AK44" s="12"/>
      <c r="AL44" s="12"/>
      <c r="AM44" s="12">
        <f>AH44+1389</f>
        <v>11383</v>
      </c>
      <c r="AN44" s="12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</row>
    <row r="45" spans="1:240" s="1" customFormat="1" ht="30" customHeight="1">
      <c r="A45" s="5">
        <v>43</v>
      </c>
      <c r="B45" s="5" t="s">
        <v>68</v>
      </c>
      <c r="C45" s="5"/>
      <c r="D45" s="5"/>
      <c r="E45" s="5">
        <v>2680</v>
      </c>
      <c r="F45" s="5">
        <v>2410</v>
      </c>
      <c r="G45" s="5">
        <v>2262</v>
      </c>
      <c r="H45" s="5">
        <v>1074</v>
      </c>
      <c r="I45" s="5" t="s">
        <v>9</v>
      </c>
      <c r="J45" s="5">
        <v>52</v>
      </c>
      <c r="K45" s="10">
        <v>5</v>
      </c>
      <c r="L45" s="11">
        <v>272.7</v>
      </c>
      <c r="M45" s="31">
        <v>10</v>
      </c>
      <c r="N45" s="5">
        <v>29</v>
      </c>
      <c r="O45" s="5">
        <v>125200</v>
      </c>
      <c r="P45" s="5" t="s">
        <v>48</v>
      </c>
      <c r="Q45" s="5">
        <v>2</v>
      </c>
      <c r="R45" s="5">
        <v>4</v>
      </c>
      <c r="S45" s="5">
        <v>900</v>
      </c>
      <c r="T45" s="5">
        <v>716</v>
      </c>
      <c r="U45" s="5">
        <v>893</v>
      </c>
      <c r="V45" s="5">
        <f t="shared" si="2"/>
        <v>14.4</v>
      </c>
      <c r="W45" s="5" t="s">
        <v>10</v>
      </c>
      <c r="X45" s="5">
        <v>62</v>
      </c>
      <c r="Y45" s="5">
        <v>411</v>
      </c>
      <c r="Z45" s="5">
        <v>92</v>
      </c>
      <c r="AA45" s="5" t="s">
        <v>68</v>
      </c>
      <c r="AB45" s="5"/>
      <c r="AC45" s="5"/>
      <c r="AD45" s="5"/>
      <c r="AE45" s="5"/>
      <c r="AF45" s="5" t="s">
        <v>68</v>
      </c>
      <c r="AG45" s="5"/>
      <c r="AH45" s="12">
        <v>16339</v>
      </c>
      <c r="AI45" s="12" t="s">
        <v>68</v>
      </c>
      <c r="AJ45" s="12" t="s">
        <v>68</v>
      </c>
      <c r="AK45" s="12"/>
      <c r="AL45" s="12"/>
      <c r="AM45" s="12">
        <f>AH45+2672</f>
        <v>19011</v>
      </c>
      <c r="AN45" s="12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</row>
    <row r="46" spans="1:240" s="1" customFormat="1" ht="30" customHeight="1">
      <c r="A46" s="5">
        <v>44</v>
      </c>
      <c r="B46" s="5" t="s">
        <v>68</v>
      </c>
      <c r="C46" s="5"/>
      <c r="D46" s="5"/>
      <c r="E46" s="5">
        <v>3930</v>
      </c>
      <c r="F46" s="5">
        <v>2410</v>
      </c>
      <c r="G46" s="5">
        <v>2262</v>
      </c>
      <c r="H46" s="5">
        <v>1492</v>
      </c>
      <c r="I46" s="5" t="s">
        <v>9</v>
      </c>
      <c r="J46" s="5">
        <v>77.8</v>
      </c>
      <c r="K46" s="10">
        <v>5</v>
      </c>
      <c r="L46" s="11">
        <v>407.9</v>
      </c>
      <c r="M46" s="31">
        <v>10</v>
      </c>
      <c r="N46" s="5">
        <v>27</v>
      </c>
      <c r="O46" s="5">
        <v>187800</v>
      </c>
      <c r="P46" s="5" t="s">
        <v>48</v>
      </c>
      <c r="Q46" s="5">
        <v>2</v>
      </c>
      <c r="R46" s="5">
        <v>6</v>
      </c>
      <c r="S46" s="5">
        <v>900</v>
      </c>
      <c r="T46" s="5">
        <v>716</v>
      </c>
      <c r="U46" s="5">
        <v>893</v>
      </c>
      <c r="V46" s="5">
        <f t="shared" si="2"/>
        <v>21.6</v>
      </c>
      <c r="W46" s="5" t="s">
        <v>10</v>
      </c>
      <c r="X46" s="5">
        <v>64</v>
      </c>
      <c r="Y46" s="5">
        <v>617</v>
      </c>
      <c r="Z46" s="5">
        <v>137</v>
      </c>
      <c r="AA46" s="5" t="s">
        <v>68</v>
      </c>
      <c r="AB46" s="5"/>
      <c r="AC46" s="5"/>
      <c r="AD46" s="5"/>
      <c r="AE46" s="5"/>
      <c r="AF46" s="5" t="s">
        <v>68</v>
      </c>
      <c r="AG46" s="5"/>
      <c r="AH46" s="12">
        <v>22443</v>
      </c>
      <c r="AI46" s="12" t="s">
        <v>68</v>
      </c>
      <c r="AJ46" s="12" t="s">
        <v>68</v>
      </c>
      <c r="AK46" s="12"/>
      <c r="AL46" s="12"/>
      <c r="AM46" s="12">
        <f>AH46+3676</f>
        <v>26119</v>
      </c>
      <c r="AN46" s="12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</row>
    <row r="47" spans="1:240" s="1" customFormat="1" ht="30" customHeight="1">
      <c r="A47" s="5">
        <v>45</v>
      </c>
      <c r="B47" s="5" t="s">
        <v>68</v>
      </c>
      <c r="C47" s="5"/>
      <c r="D47" s="5"/>
      <c r="E47" s="5">
        <v>5180</v>
      </c>
      <c r="F47" s="5">
        <v>2410</v>
      </c>
      <c r="G47" s="5">
        <v>2262</v>
      </c>
      <c r="H47" s="5">
        <v>2151</v>
      </c>
      <c r="I47" s="5" t="s">
        <v>9</v>
      </c>
      <c r="J47" s="5">
        <v>123.8</v>
      </c>
      <c r="K47" s="10">
        <v>5</v>
      </c>
      <c r="L47" s="11">
        <v>648.4</v>
      </c>
      <c r="M47" s="31">
        <v>10</v>
      </c>
      <c r="N47" s="5">
        <v>19</v>
      </c>
      <c r="O47" s="5">
        <v>235200</v>
      </c>
      <c r="P47" s="5" t="s">
        <v>48</v>
      </c>
      <c r="Q47" s="5">
        <v>2</v>
      </c>
      <c r="R47" s="5">
        <v>8</v>
      </c>
      <c r="S47" s="5">
        <v>900</v>
      </c>
      <c r="T47" s="5">
        <v>716</v>
      </c>
      <c r="U47" s="5">
        <v>893</v>
      </c>
      <c r="V47" s="5">
        <f t="shared" si="2"/>
        <v>28.8</v>
      </c>
      <c r="W47" s="5" t="s">
        <v>10</v>
      </c>
      <c r="X47" s="5">
        <v>65</v>
      </c>
      <c r="Y47" s="5">
        <v>1717</v>
      </c>
      <c r="Z47" s="5">
        <v>323</v>
      </c>
      <c r="AA47" s="5" t="s">
        <v>68</v>
      </c>
      <c r="AB47" s="5"/>
      <c r="AC47" s="5"/>
      <c r="AD47" s="5"/>
      <c r="AE47" s="5"/>
      <c r="AF47" s="5" t="s">
        <v>68</v>
      </c>
      <c r="AG47" s="5"/>
      <c r="AH47" s="12">
        <v>33243</v>
      </c>
      <c r="AI47" s="12" t="s">
        <v>68</v>
      </c>
      <c r="AJ47" s="12" t="s">
        <v>68</v>
      </c>
      <c r="AK47" s="12"/>
      <c r="AL47" s="12"/>
      <c r="AM47" s="12">
        <f>AH47+4081</f>
        <v>37324</v>
      </c>
      <c r="AN47" s="12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</row>
    <row r="48" spans="1:240" s="1" customFormat="1" ht="30" customHeight="1">
      <c r="A48" s="5">
        <v>46</v>
      </c>
      <c r="B48" s="5" t="s">
        <v>68</v>
      </c>
      <c r="C48" s="5"/>
      <c r="D48" s="5"/>
      <c r="E48" s="5">
        <v>6430</v>
      </c>
      <c r="F48" s="5">
        <v>2410</v>
      </c>
      <c r="G48" s="5">
        <v>2262</v>
      </c>
      <c r="H48" s="5">
        <v>2638</v>
      </c>
      <c r="I48" s="5" t="s">
        <v>9</v>
      </c>
      <c r="J48" s="5">
        <v>161.4</v>
      </c>
      <c r="K48" s="10">
        <v>5</v>
      </c>
      <c r="L48" s="11">
        <v>845.7</v>
      </c>
      <c r="M48" s="31">
        <v>10</v>
      </c>
      <c r="N48" s="5">
        <v>37</v>
      </c>
      <c r="O48" s="5">
        <v>294000</v>
      </c>
      <c r="P48" s="5" t="s">
        <v>48</v>
      </c>
      <c r="Q48" s="5">
        <v>2</v>
      </c>
      <c r="R48" s="5">
        <v>10</v>
      </c>
      <c r="S48" s="5">
        <v>900</v>
      </c>
      <c r="T48" s="5">
        <v>716</v>
      </c>
      <c r="U48" s="5">
        <v>893</v>
      </c>
      <c r="V48" s="5">
        <f t="shared" si="2"/>
        <v>36</v>
      </c>
      <c r="W48" s="5" t="s">
        <v>10</v>
      </c>
      <c r="X48" s="5">
        <v>65</v>
      </c>
      <c r="Y48" s="5">
        <v>2147</v>
      </c>
      <c r="Z48" s="5">
        <v>390</v>
      </c>
      <c r="AA48" s="5" t="s">
        <v>68</v>
      </c>
      <c r="AB48" s="5"/>
      <c r="AC48" s="5"/>
      <c r="AD48" s="5"/>
      <c r="AE48" s="5"/>
      <c r="AF48" s="5" t="s">
        <v>68</v>
      </c>
      <c r="AG48" s="5"/>
      <c r="AH48" s="12">
        <v>40093</v>
      </c>
      <c r="AI48" s="12" t="s">
        <v>68</v>
      </c>
      <c r="AJ48" s="12" t="s">
        <v>68</v>
      </c>
      <c r="AK48" s="12"/>
      <c r="AL48" s="12"/>
      <c r="AM48" s="12">
        <f>AH48+4153</f>
        <v>44246</v>
      </c>
      <c r="AN48" s="12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</row>
    <row r="49" spans="1:240" s="1" customFormat="1" ht="30" customHeight="1">
      <c r="A49" s="5">
        <v>47</v>
      </c>
      <c r="B49" s="5" t="s">
        <v>68</v>
      </c>
      <c r="C49" s="5"/>
      <c r="D49" s="5"/>
      <c r="E49" s="5">
        <v>7680</v>
      </c>
      <c r="F49" s="5">
        <v>2410</v>
      </c>
      <c r="G49" s="5">
        <v>2262</v>
      </c>
      <c r="H49" s="5">
        <v>3356</v>
      </c>
      <c r="I49" s="5" t="s">
        <v>9</v>
      </c>
      <c r="J49" s="5">
        <v>219.8</v>
      </c>
      <c r="K49" s="10">
        <v>5</v>
      </c>
      <c r="L49" s="11">
        <v>1151.8</v>
      </c>
      <c r="M49" s="31">
        <v>10</v>
      </c>
      <c r="N49" s="5">
        <v>46</v>
      </c>
      <c r="O49" s="5">
        <v>331200</v>
      </c>
      <c r="P49" s="5" t="s">
        <v>48</v>
      </c>
      <c r="Q49" s="5">
        <v>2</v>
      </c>
      <c r="R49" s="5">
        <v>12</v>
      </c>
      <c r="S49" s="5">
        <v>900</v>
      </c>
      <c r="T49" s="5">
        <v>716</v>
      </c>
      <c r="U49" s="5">
        <v>893</v>
      </c>
      <c r="V49" s="5">
        <f t="shared" si="2"/>
        <v>43.2</v>
      </c>
      <c r="W49" s="5" t="s">
        <v>10</v>
      </c>
      <c r="X49" s="5">
        <v>66</v>
      </c>
      <c r="Y49" s="5">
        <v>3434</v>
      </c>
      <c r="Z49" s="5">
        <v>589</v>
      </c>
      <c r="AA49" s="5" t="s">
        <v>68</v>
      </c>
      <c r="AB49" s="5"/>
      <c r="AC49" s="5"/>
      <c r="AD49" s="5"/>
      <c r="AE49" s="5"/>
      <c r="AF49" s="5" t="s">
        <v>68</v>
      </c>
      <c r="AG49" s="5"/>
      <c r="AH49" s="12">
        <v>52274</v>
      </c>
      <c r="AI49" s="12" t="s">
        <v>68</v>
      </c>
      <c r="AJ49" s="12" t="s">
        <v>68</v>
      </c>
      <c r="AK49" s="12"/>
      <c r="AL49" s="12"/>
      <c r="AM49" s="12">
        <f>AH49+5758</f>
        <v>58032</v>
      </c>
      <c r="AN49" s="12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</row>
    <row r="50" spans="1:240" s="1" customFormat="1" ht="30" customHeight="1">
      <c r="A50" s="5">
        <v>48</v>
      </c>
      <c r="B50" s="5" t="s">
        <v>68</v>
      </c>
      <c r="C50" s="5"/>
      <c r="D50" s="5"/>
      <c r="E50" s="5">
        <v>10182</v>
      </c>
      <c r="F50" s="5">
        <v>2410</v>
      </c>
      <c r="G50" s="5">
        <v>2262</v>
      </c>
      <c r="H50" s="5">
        <v>2173</v>
      </c>
      <c r="I50" s="5" t="s">
        <v>9</v>
      </c>
      <c r="J50" s="5">
        <v>302.5</v>
      </c>
      <c r="K50" s="10">
        <v>5</v>
      </c>
      <c r="L50" s="11">
        <v>1585</v>
      </c>
      <c r="M50" s="31">
        <v>10</v>
      </c>
      <c r="N50" s="5">
        <v>106</v>
      </c>
      <c r="O50" s="5">
        <v>441600</v>
      </c>
      <c r="P50" s="5" t="s">
        <v>48</v>
      </c>
      <c r="Q50" s="5">
        <v>2</v>
      </c>
      <c r="R50" s="5">
        <v>16</v>
      </c>
      <c r="S50" s="5">
        <v>900</v>
      </c>
      <c r="T50" s="5">
        <v>716</v>
      </c>
      <c r="U50" s="5">
        <v>893</v>
      </c>
      <c r="V50" s="5">
        <f t="shared" si="2"/>
        <v>57.6</v>
      </c>
      <c r="W50" s="5" t="s">
        <v>10</v>
      </c>
      <c r="X50" s="5">
        <v>63</v>
      </c>
      <c r="Y50" s="5">
        <v>4579</v>
      </c>
      <c r="Z50" s="5">
        <v>513</v>
      </c>
      <c r="AA50" s="5" t="s">
        <v>68</v>
      </c>
      <c r="AB50" s="5"/>
      <c r="AC50" s="5"/>
      <c r="AD50" s="5"/>
      <c r="AE50" s="5"/>
      <c r="AF50" s="5" t="s">
        <v>68</v>
      </c>
      <c r="AG50" s="5"/>
      <c r="AH50" s="12">
        <v>67050</v>
      </c>
      <c r="AI50" s="12" t="s">
        <v>68</v>
      </c>
      <c r="AJ50" s="12" t="s">
        <v>68</v>
      </c>
      <c r="AK50" s="12"/>
      <c r="AL50" s="12"/>
      <c r="AM50" s="12">
        <f>AH50+6566</f>
        <v>73616</v>
      </c>
      <c r="AN50" s="12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</row>
    <row r="51" spans="1:240" s="1" customFormat="1" ht="30" customHeight="1">
      <c r="A51" s="5">
        <v>49</v>
      </c>
      <c r="B51" s="5" t="s">
        <v>68</v>
      </c>
      <c r="C51" s="5"/>
      <c r="D51" s="5"/>
      <c r="E51" s="5">
        <v>4182</v>
      </c>
      <c r="F51" s="5">
        <v>2410</v>
      </c>
      <c r="G51" s="5">
        <v>2262</v>
      </c>
      <c r="H51" s="5">
        <v>1204</v>
      </c>
      <c r="I51" s="5" t="s">
        <v>9</v>
      </c>
      <c r="J51" s="5">
        <v>58.3</v>
      </c>
      <c r="K51" s="10">
        <v>5</v>
      </c>
      <c r="L51" s="11">
        <v>305.39999999999998</v>
      </c>
      <c r="M51" s="31">
        <v>10</v>
      </c>
      <c r="N51" s="5">
        <v>34</v>
      </c>
      <c r="O51" s="5">
        <v>129095</v>
      </c>
      <c r="P51" s="5" t="s">
        <v>48</v>
      </c>
      <c r="Q51" s="5">
        <v>2</v>
      </c>
      <c r="R51" s="5">
        <v>4</v>
      </c>
      <c r="S51" s="5">
        <v>900</v>
      </c>
      <c r="T51" s="5">
        <v>716</v>
      </c>
      <c r="U51" s="5">
        <v>893</v>
      </c>
      <c r="V51" s="5">
        <f t="shared" si="2"/>
        <v>14.4</v>
      </c>
      <c r="W51" s="5" t="s">
        <v>10</v>
      </c>
      <c r="X51" s="5">
        <v>62</v>
      </c>
      <c r="Y51" s="5">
        <v>969</v>
      </c>
      <c r="Z51" s="5">
        <v>80</v>
      </c>
      <c r="AA51" s="5" t="s">
        <v>68</v>
      </c>
      <c r="AB51" s="5"/>
      <c r="AC51" s="5"/>
      <c r="AD51" s="5"/>
      <c r="AE51" s="5"/>
      <c r="AF51" s="5" t="s">
        <v>68</v>
      </c>
      <c r="AG51" s="5"/>
      <c r="AH51" s="12">
        <v>17840</v>
      </c>
      <c r="AI51" s="12" t="s">
        <v>68</v>
      </c>
      <c r="AJ51" s="12" t="s">
        <v>68</v>
      </c>
      <c r="AK51" s="12"/>
      <c r="AL51" s="12"/>
      <c r="AM51" s="12">
        <f>AH51+2769</f>
        <v>20609</v>
      </c>
      <c r="AN51" s="12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</row>
    <row r="52" spans="1:240" s="1" customFormat="1" ht="30" customHeight="1">
      <c r="A52" s="5">
        <v>50</v>
      </c>
      <c r="B52" s="5" t="s">
        <v>68</v>
      </c>
      <c r="C52" s="5"/>
      <c r="D52" s="5"/>
      <c r="E52" s="5">
        <v>6182</v>
      </c>
      <c r="F52" s="5">
        <v>2410</v>
      </c>
      <c r="G52" s="5">
        <v>2262</v>
      </c>
      <c r="H52" s="5">
        <v>1765</v>
      </c>
      <c r="I52" s="5" t="s">
        <v>9</v>
      </c>
      <c r="J52" s="5">
        <v>95.3</v>
      </c>
      <c r="K52" s="10">
        <v>5</v>
      </c>
      <c r="L52" s="11">
        <v>499.2</v>
      </c>
      <c r="M52" s="31">
        <v>10</v>
      </c>
      <c r="N52" s="5">
        <v>28</v>
      </c>
      <c r="O52" s="5">
        <v>191445</v>
      </c>
      <c r="P52" s="5" t="s">
        <v>48</v>
      </c>
      <c r="Q52" s="5">
        <v>2</v>
      </c>
      <c r="R52" s="5">
        <v>6</v>
      </c>
      <c r="S52" s="5">
        <v>900</v>
      </c>
      <c r="T52" s="5">
        <v>716</v>
      </c>
      <c r="U52" s="5">
        <v>893</v>
      </c>
      <c r="V52" s="5">
        <f t="shared" si="2"/>
        <v>21.6</v>
      </c>
      <c r="W52" s="5" t="s">
        <v>10</v>
      </c>
      <c r="X52" s="5">
        <v>63</v>
      </c>
      <c r="Y52" s="5">
        <v>1374</v>
      </c>
      <c r="Z52" s="5">
        <v>210</v>
      </c>
      <c r="AA52" s="5" t="s">
        <v>68</v>
      </c>
      <c r="AB52" s="5"/>
      <c r="AC52" s="5"/>
      <c r="AD52" s="5"/>
      <c r="AE52" s="5"/>
      <c r="AF52" s="5" t="s">
        <v>68</v>
      </c>
      <c r="AG52" s="5"/>
      <c r="AH52" s="12">
        <v>26052</v>
      </c>
      <c r="AI52" s="12" t="s">
        <v>68</v>
      </c>
      <c r="AJ52" s="12" t="s">
        <v>68</v>
      </c>
      <c r="AK52" s="12"/>
      <c r="AL52" s="12"/>
      <c r="AM52" s="12">
        <f>AH52+3773</f>
        <v>29825</v>
      </c>
      <c r="AN52" s="12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</row>
    <row r="53" spans="1:240" s="1" customFormat="1" ht="30" customHeight="1">
      <c r="A53" s="5">
        <v>51</v>
      </c>
      <c r="B53" s="5" t="s">
        <v>68</v>
      </c>
      <c r="C53" s="5"/>
      <c r="D53" s="5"/>
      <c r="E53" s="5">
        <v>8182</v>
      </c>
      <c r="F53" s="5">
        <v>2410</v>
      </c>
      <c r="G53" s="5">
        <v>2262</v>
      </c>
      <c r="H53" s="5">
        <v>2275</v>
      </c>
      <c r="I53" s="5" t="s">
        <v>9</v>
      </c>
      <c r="J53" s="5">
        <v>132.69999999999999</v>
      </c>
      <c r="K53" s="10">
        <v>5</v>
      </c>
      <c r="L53" s="11">
        <v>695.2</v>
      </c>
      <c r="M53" s="31">
        <v>10</v>
      </c>
      <c r="N53" s="5">
        <v>68</v>
      </c>
      <c r="O53" s="5">
        <v>255259</v>
      </c>
      <c r="P53" s="5" t="s">
        <v>48</v>
      </c>
      <c r="Q53" s="5">
        <v>2</v>
      </c>
      <c r="R53" s="5">
        <v>8</v>
      </c>
      <c r="S53" s="5">
        <v>900</v>
      </c>
      <c r="T53" s="5">
        <v>716</v>
      </c>
      <c r="U53" s="5">
        <v>893</v>
      </c>
      <c r="V53" s="5">
        <f t="shared" si="2"/>
        <v>28.8</v>
      </c>
      <c r="W53" s="5" t="s">
        <v>10</v>
      </c>
      <c r="X53" s="5">
        <v>64</v>
      </c>
      <c r="Y53" s="5">
        <v>1832</v>
      </c>
      <c r="Z53" s="5">
        <v>280</v>
      </c>
      <c r="AA53" s="5" t="s">
        <v>68</v>
      </c>
      <c r="AB53" s="5"/>
      <c r="AC53" s="5"/>
      <c r="AD53" s="5"/>
      <c r="AE53" s="5"/>
      <c r="AF53" s="5" t="s">
        <v>68</v>
      </c>
      <c r="AG53" s="5"/>
      <c r="AH53" s="12">
        <v>32679</v>
      </c>
      <c r="AI53" s="12" t="s">
        <v>68</v>
      </c>
      <c r="AJ53" s="12" t="s">
        <v>68</v>
      </c>
      <c r="AK53" s="12"/>
      <c r="AL53" s="12"/>
      <c r="AM53" s="12">
        <f>AH53+4178</f>
        <v>36857</v>
      </c>
      <c r="AN53" s="12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</row>
    <row r="54" spans="1:240" s="1" customFormat="1" ht="30" customHeight="1">
      <c r="A54" s="5">
        <v>52</v>
      </c>
      <c r="B54" s="5" t="s">
        <v>68</v>
      </c>
      <c r="C54" s="5"/>
      <c r="D54" s="5"/>
      <c r="E54" s="5">
        <v>10182</v>
      </c>
      <c r="F54" s="5">
        <v>2410</v>
      </c>
      <c r="G54" s="5">
        <v>2262</v>
      </c>
      <c r="H54" s="5">
        <v>3118</v>
      </c>
      <c r="I54" s="5" t="s">
        <v>9</v>
      </c>
      <c r="J54" s="5">
        <v>206.6</v>
      </c>
      <c r="K54" s="10">
        <v>5</v>
      </c>
      <c r="L54" s="11">
        <v>1082.5999999999999</v>
      </c>
      <c r="M54" s="31">
        <v>10</v>
      </c>
      <c r="N54" s="5">
        <v>90</v>
      </c>
      <c r="O54" s="5">
        <v>310358</v>
      </c>
      <c r="P54" s="5" t="s">
        <v>48</v>
      </c>
      <c r="Q54" s="5">
        <v>2</v>
      </c>
      <c r="R54" s="5">
        <v>10</v>
      </c>
      <c r="S54" s="5">
        <v>900</v>
      </c>
      <c r="T54" s="5">
        <v>716</v>
      </c>
      <c r="U54" s="5">
        <v>893</v>
      </c>
      <c r="V54" s="5">
        <f t="shared" si="2"/>
        <v>36</v>
      </c>
      <c r="W54" s="5" t="s">
        <v>10</v>
      </c>
      <c r="X54" s="5">
        <v>65</v>
      </c>
      <c r="Y54" s="5">
        <v>3435</v>
      </c>
      <c r="Z54" s="5">
        <v>525</v>
      </c>
      <c r="AA54" s="5" t="s">
        <v>68</v>
      </c>
      <c r="AB54" s="5"/>
      <c r="AC54" s="5"/>
      <c r="AD54" s="5"/>
      <c r="AE54" s="5"/>
      <c r="AF54" s="5" t="s">
        <v>68</v>
      </c>
      <c r="AG54" s="5"/>
      <c r="AH54" s="12">
        <v>47798</v>
      </c>
      <c r="AI54" s="12" t="s">
        <v>68</v>
      </c>
      <c r="AJ54" s="12" t="s">
        <v>68</v>
      </c>
      <c r="AK54" s="12"/>
      <c r="AL54" s="12"/>
      <c r="AM54" s="12">
        <f>AH54+4250</f>
        <v>52048</v>
      </c>
      <c r="AN54" s="12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</row>
    <row r="55" spans="1:240" s="2" customFormat="1" ht="30" customHeight="1">
      <c r="A55" s="5">
        <v>53</v>
      </c>
      <c r="B55" s="5" t="s">
        <v>68</v>
      </c>
      <c r="C55" s="5"/>
      <c r="D55" s="5"/>
      <c r="E55" s="5">
        <v>2940</v>
      </c>
      <c r="F55" s="5">
        <v>2230</v>
      </c>
      <c r="G55" s="5">
        <v>2210</v>
      </c>
      <c r="H55" s="5">
        <v>585</v>
      </c>
      <c r="I55" s="5" t="s">
        <v>13</v>
      </c>
      <c r="J55" s="5">
        <v>38.700000000000003</v>
      </c>
      <c r="K55" s="10">
        <v>5</v>
      </c>
      <c r="L55" s="11">
        <v>222.3</v>
      </c>
      <c r="M55" s="31">
        <v>10</v>
      </c>
      <c r="N55" s="5">
        <v>71.900000000000006</v>
      </c>
      <c r="O55" s="5">
        <v>88780</v>
      </c>
      <c r="P55" s="5" t="s">
        <v>48</v>
      </c>
      <c r="Q55" s="5"/>
      <c r="R55" s="5">
        <v>4</v>
      </c>
      <c r="S55" s="5">
        <v>800</v>
      </c>
      <c r="T55" s="5">
        <v>660</v>
      </c>
      <c r="U55" s="5">
        <v>880</v>
      </c>
      <c r="V55" s="5">
        <f t="shared" ref="V55:V75" si="3">2*R55</f>
        <v>8</v>
      </c>
      <c r="W55" s="5" t="s">
        <v>10</v>
      </c>
      <c r="X55" s="5">
        <v>56</v>
      </c>
      <c r="Y55" s="5">
        <v>636.5</v>
      </c>
      <c r="Z55" s="5">
        <v>55.4</v>
      </c>
      <c r="AA55" s="5" t="s">
        <v>68</v>
      </c>
      <c r="AB55" s="5"/>
      <c r="AC55" s="5"/>
      <c r="AD55" s="5" t="s">
        <v>76</v>
      </c>
      <c r="AE55" s="5"/>
      <c r="AF55" s="5" t="s">
        <v>68</v>
      </c>
      <c r="AG55" s="5" t="s">
        <v>68</v>
      </c>
      <c r="AH55" s="12">
        <v>6421</v>
      </c>
      <c r="AI55" s="12"/>
      <c r="AJ55" s="12" t="s">
        <v>68</v>
      </c>
      <c r="AK55" s="12"/>
      <c r="AL55" s="12" t="s">
        <v>68</v>
      </c>
      <c r="AM55" s="12">
        <f>AH55+4188+1298*4</f>
        <v>15801</v>
      </c>
      <c r="AN55" s="12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</row>
    <row r="56" spans="1:240" s="2" customFormat="1" ht="30" customHeight="1">
      <c r="A56" s="5">
        <v>54</v>
      </c>
      <c r="B56" s="5" t="s">
        <v>68</v>
      </c>
      <c r="C56" s="5"/>
      <c r="D56" s="5"/>
      <c r="E56" s="5">
        <v>2940</v>
      </c>
      <c r="F56" s="5">
        <v>2230</v>
      </c>
      <c r="G56" s="5">
        <v>2210</v>
      </c>
      <c r="H56" s="5">
        <v>675</v>
      </c>
      <c r="I56" s="5" t="s">
        <v>13</v>
      </c>
      <c r="J56" s="5">
        <v>47.6</v>
      </c>
      <c r="K56" s="10">
        <v>5</v>
      </c>
      <c r="L56" s="11">
        <v>273.89999999999998</v>
      </c>
      <c r="M56" s="31">
        <v>10</v>
      </c>
      <c r="N56" s="5">
        <v>30.7</v>
      </c>
      <c r="O56" s="5">
        <v>86052</v>
      </c>
      <c r="P56" s="5" t="s">
        <v>48</v>
      </c>
      <c r="Q56" s="5"/>
      <c r="R56" s="5">
        <v>4</v>
      </c>
      <c r="S56" s="5">
        <v>800</v>
      </c>
      <c r="T56" s="5">
        <v>660</v>
      </c>
      <c r="U56" s="5">
        <v>880</v>
      </c>
      <c r="V56" s="5">
        <f t="shared" si="3"/>
        <v>8</v>
      </c>
      <c r="W56" s="5" t="s">
        <v>10</v>
      </c>
      <c r="X56" s="5">
        <v>56</v>
      </c>
      <c r="Y56" s="5">
        <v>954.68</v>
      </c>
      <c r="Z56" s="5">
        <v>83.2</v>
      </c>
      <c r="AA56" s="5" t="s">
        <v>68</v>
      </c>
      <c r="AB56" s="5"/>
      <c r="AC56" s="5"/>
      <c r="AD56" s="5" t="s">
        <v>76</v>
      </c>
      <c r="AE56" s="5"/>
      <c r="AF56" s="5" t="s">
        <v>68</v>
      </c>
      <c r="AG56" s="5" t="s">
        <v>68</v>
      </c>
      <c r="AH56" s="12">
        <v>7070</v>
      </c>
      <c r="AI56" s="12"/>
      <c r="AJ56" s="12" t="s">
        <v>68</v>
      </c>
      <c r="AK56" s="12"/>
      <c r="AL56" s="12" t="s">
        <v>68</v>
      </c>
      <c r="AM56" s="12">
        <f>AH56+4188+1298*4</f>
        <v>16450</v>
      </c>
      <c r="AN56" s="12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</row>
    <row r="57" spans="1:240" s="2" customFormat="1" ht="30" customHeight="1">
      <c r="A57" s="5">
        <v>55</v>
      </c>
      <c r="B57" s="5" t="s">
        <v>68</v>
      </c>
      <c r="C57" s="5"/>
      <c r="D57" s="5"/>
      <c r="E57" s="5">
        <v>2940</v>
      </c>
      <c r="F57" s="5">
        <v>2230</v>
      </c>
      <c r="G57" s="5">
        <v>2210</v>
      </c>
      <c r="H57" s="5">
        <v>774</v>
      </c>
      <c r="I57" s="5" t="s">
        <v>13</v>
      </c>
      <c r="J57" s="5">
        <v>54.1</v>
      </c>
      <c r="K57" s="10">
        <v>5</v>
      </c>
      <c r="L57" s="11">
        <v>310.89999999999998</v>
      </c>
      <c r="M57" s="31">
        <v>10</v>
      </c>
      <c r="N57" s="5">
        <v>51</v>
      </c>
      <c r="O57" s="5">
        <v>83370</v>
      </c>
      <c r="P57" s="5" t="s">
        <v>48</v>
      </c>
      <c r="Q57" s="5"/>
      <c r="R57" s="5">
        <v>4</v>
      </c>
      <c r="S57" s="5">
        <v>800</v>
      </c>
      <c r="T57" s="5">
        <v>660</v>
      </c>
      <c r="U57" s="5">
        <v>880</v>
      </c>
      <c r="V57" s="5">
        <f t="shared" si="3"/>
        <v>8</v>
      </c>
      <c r="W57" s="5" t="s">
        <v>10</v>
      </c>
      <c r="X57" s="5">
        <v>56</v>
      </c>
      <c r="Y57" s="5">
        <v>1272.8599999999999</v>
      </c>
      <c r="Z57" s="5">
        <v>110.9</v>
      </c>
      <c r="AA57" s="5" t="s">
        <v>68</v>
      </c>
      <c r="AB57" s="5"/>
      <c r="AC57" s="5"/>
      <c r="AD57" s="5" t="s">
        <v>76</v>
      </c>
      <c r="AE57" s="5"/>
      <c r="AF57" s="5" t="s">
        <v>68</v>
      </c>
      <c r="AG57" s="5" t="s">
        <v>68</v>
      </c>
      <c r="AH57" s="12">
        <v>7916</v>
      </c>
      <c r="AI57" s="12"/>
      <c r="AJ57" s="12" t="s">
        <v>68</v>
      </c>
      <c r="AK57" s="12"/>
      <c r="AL57" s="12" t="s">
        <v>68</v>
      </c>
      <c r="AM57" s="12">
        <f>AH57+4188+1298*4</f>
        <v>17296</v>
      </c>
      <c r="AN57" s="12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</row>
    <row r="58" spans="1:240" s="2" customFormat="1" ht="30" customHeight="1">
      <c r="A58" s="5">
        <v>56</v>
      </c>
      <c r="B58" s="5" t="s">
        <v>68</v>
      </c>
      <c r="C58" s="5"/>
      <c r="D58" s="5"/>
      <c r="E58" s="5">
        <v>4250</v>
      </c>
      <c r="F58" s="5">
        <v>2230</v>
      </c>
      <c r="G58" s="5">
        <v>2210</v>
      </c>
      <c r="H58" s="5">
        <v>765</v>
      </c>
      <c r="I58" s="5" t="s">
        <v>13</v>
      </c>
      <c r="J58" s="5">
        <v>57.9</v>
      </c>
      <c r="K58" s="10">
        <v>5</v>
      </c>
      <c r="L58" s="11">
        <v>333.2</v>
      </c>
      <c r="M58" s="31">
        <v>10</v>
      </c>
      <c r="N58" s="5">
        <v>58.2</v>
      </c>
      <c r="O58" s="5">
        <v>133258</v>
      </c>
      <c r="P58" s="5" t="s">
        <v>48</v>
      </c>
      <c r="Q58" s="5"/>
      <c r="R58" s="5">
        <v>6</v>
      </c>
      <c r="S58" s="5">
        <v>800</v>
      </c>
      <c r="T58" s="5">
        <v>660</v>
      </c>
      <c r="U58" s="5">
        <v>880</v>
      </c>
      <c r="V58" s="5">
        <f t="shared" si="3"/>
        <v>12</v>
      </c>
      <c r="W58" s="5" t="s">
        <v>10</v>
      </c>
      <c r="X58" s="5">
        <v>58</v>
      </c>
      <c r="Y58" s="5">
        <v>960.92</v>
      </c>
      <c r="Z58" s="5">
        <v>83.7</v>
      </c>
      <c r="AA58" s="5" t="s">
        <v>68</v>
      </c>
      <c r="AB58" s="5"/>
      <c r="AC58" s="5"/>
      <c r="AD58" s="5" t="s">
        <v>76</v>
      </c>
      <c r="AE58" s="5"/>
      <c r="AF58" s="5" t="s">
        <v>68</v>
      </c>
      <c r="AG58" s="5" t="s">
        <v>68</v>
      </c>
      <c r="AH58" s="12">
        <v>8660</v>
      </c>
      <c r="AI58" s="12"/>
      <c r="AJ58" s="12" t="s">
        <v>68</v>
      </c>
      <c r="AK58" s="12"/>
      <c r="AL58" s="12" t="s">
        <v>68</v>
      </c>
      <c r="AM58" s="12">
        <f>AH58+4131+1298*6</f>
        <v>20579</v>
      </c>
      <c r="AN58" s="12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</row>
    <row r="59" spans="1:240" s="2" customFormat="1" ht="30" customHeight="1">
      <c r="A59" s="5">
        <v>57</v>
      </c>
      <c r="B59" s="5" t="s">
        <v>68</v>
      </c>
      <c r="C59" s="5"/>
      <c r="D59" s="5"/>
      <c r="E59" s="5">
        <v>4250</v>
      </c>
      <c r="F59" s="5">
        <v>2230</v>
      </c>
      <c r="G59" s="5">
        <v>2210</v>
      </c>
      <c r="H59" s="5">
        <v>945</v>
      </c>
      <c r="I59" s="5" t="s">
        <v>13</v>
      </c>
      <c r="J59" s="5">
        <v>72.2</v>
      </c>
      <c r="K59" s="10">
        <v>5</v>
      </c>
      <c r="L59" s="11">
        <v>415</v>
      </c>
      <c r="M59" s="31">
        <v>10</v>
      </c>
      <c r="N59" s="5">
        <v>42</v>
      </c>
      <c r="O59" s="5">
        <v>129210</v>
      </c>
      <c r="P59" s="5" t="s">
        <v>48</v>
      </c>
      <c r="Q59" s="5"/>
      <c r="R59" s="5">
        <v>6</v>
      </c>
      <c r="S59" s="5">
        <v>800</v>
      </c>
      <c r="T59" s="5">
        <v>660</v>
      </c>
      <c r="U59" s="5">
        <v>880</v>
      </c>
      <c r="V59" s="5">
        <f t="shared" si="3"/>
        <v>12</v>
      </c>
      <c r="W59" s="5" t="s">
        <v>10</v>
      </c>
      <c r="X59" s="5">
        <v>58</v>
      </c>
      <c r="Y59" s="5">
        <v>1441.24</v>
      </c>
      <c r="Z59" s="5">
        <v>125.5</v>
      </c>
      <c r="AA59" s="5" t="s">
        <v>68</v>
      </c>
      <c r="AB59" s="5"/>
      <c r="AC59" s="5"/>
      <c r="AD59" s="5" t="s">
        <v>76</v>
      </c>
      <c r="AE59" s="5"/>
      <c r="AF59" s="5" t="s">
        <v>68</v>
      </c>
      <c r="AG59" s="5" t="s">
        <v>68</v>
      </c>
      <c r="AH59" s="12">
        <v>9591</v>
      </c>
      <c r="AI59" s="12"/>
      <c r="AJ59" s="12" t="s">
        <v>68</v>
      </c>
      <c r="AK59" s="12"/>
      <c r="AL59" s="12" t="s">
        <v>68</v>
      </c>
      <c r="AM59" s="12">
        <f>AH59+4131+1298*6</f>
        <v>21510</v>
      </c>
      <c r="AN59" s="12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</row>
    <row r="60" spans="1:240" s="2" customFormat="1" ht="30" customHeight="1">
      <c r="A60" s="5">
        <v>58</v>
      </c>
      <c r="B60" s="5" t="s">
        <v>68</v>
      </c>
      <c r="C60" s="5"/>
      <c r="D60" s="5"/>
      <c r="E60" s="5">
        <v>4250</v>
      </c>
      <c r="F60" s="5">
        <v>2230</v>
      </c>
      <c r="G60" s="5">
        <v>2210</v>
      </c>
      <c r="H60" s="5">
        <v>1125</v>
      </c>
      <c r="I60" s="5" t="s">
        <v>13</v>
      </c>
      <c r="J60" s="5">
        <v>81.7</v>
      </c>
      <c r="K60" s="10">
        <v>5</v>
      </c>
      <c r="L60" s="11">
        <v>469.9</v>
      </c>
      <c r="M60" s="31">
        <v>10</v>
      </c>
      <c r="N60" s="5">
        <v>69.5</v>
      </c>
      <c r="O60" s="5">
        <v>125227</v>
      </c>
      <c r="P60" s="5" t="s">
        <v>48</v>
      </c>
      <c r="Q60" s="5"/>
      <c r="R60" s="5">
        <v>6</v>
      </c>
      <c r="S60" s="5">
        <v>800</v>
      </c>
      <c r="T60" s="5">
        <v>660</v>
      </c>
      <c r="U60" s="5">
        <v>880</v>
      </c>
      <c r="V60" s="5">
        <f t="shared" si="3"/>
        <v>12</v>
      </c>
      <c r="W60" s="5" t="s">
        <v>10</v>
      </c>
      <c r="X60" s="5">
        <v>58</v>
      </c>
      <c r="Y60" s="5">
        <v>1921.7</v>
      </c>
      <c r="Z60" s="5">
        <v>167.4</v>
      </c>
      <c r="AA60" s="5" t="s">
        <v>68</v>
      </c>
      <c r="AB60" s="5"/>
      <c r="AC60" s="5"/>
      <c r="AD60" s="5" t="s">
        <v>76</v>
      </c>
      <c r="AE60" s="5"/>
      <c r="AF60" s="5" t="s">
        <v>68</v>
      </c>
      <c r="AG60" s="5" t="s">
        <v>68</v>
      </c>
      <c r="AH60" s="12">
        <v>11086</v>
      </c>
      <c r="AI60" s="12"/>
      <c r="AJ60" s="12" t="s">
        <v>68</v>
      </c>
      <c r="AK60" s="12"/>
      <c r="AL60" s="12" t="s">
        <v>68</v>
      </c>
      <c r="AM60" s="12">
        <f>AH60+4131+1298*6</f>
        <v>23005</v>
      </c>
      <c r="AN60" s="12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</row>
    <row r="61" spans="1:240" s="2" customFormat="1" ht="30" customHeight="1">
      <c r="A61" s="5">
        <v>59</v>
      </c>
      <c r="B61" s="5" t="s">
        <v>68</v>
      </c>
      <c r="C61" s="5"/>
      <c r="D61" s="5"/>
      <c r="E61" s="5">
        <v>5560</v>
      </c>
      <c r="F61" s="5">
        <v>2230</v>
      </c>
      <c r="G61" s="5">
        <v>2210</v>
      </c>
      <c r="H61" s="5">
        <v>1152</v>
      </c>
      <c r="I61" s="5" t="s">
        <v>13</v>
      </c>
      <c r="J61" s="5">
        <v>77.900000000000006</v>
      </c>
      <c r="K61" s="10">
        <v>5</v>
      </c>
      <c r="L61" s="11">
        <v>448</v>
      </c>
      <c r="M61" s="31">
        <v>10</v>
      </c>
      <c r="N61" s="5">
        <v>80.2</v>
      </c>
      <c r="O61" s="5">
        <v>177736</v>
      </c>
      <c r="P61" s="5" t="s">
        <v>48</v>
      </c>
      <c r="Q61" s="5"/>
      <c r="R61" s="5">
        <v>8</v>
      </c>
      <c r="S61" s="5">
        <v>800</v>
      </c>
      <c r="T61" s="5">
        <v>660</v>
      </c>
      <c r="U61" s="5">
        <v>880</v>
      </c>
      <c r="V61" s="5">
        <f t="shared" si="3"/>
        <v>16</v>
      </c>
      <c r="W61" s="5" t="s">
        <v>10</v>
      </c>
      <c r="X61" s="5">
        <v>59</v>
      </c>
      <c r="Y61" s="5">
        <v>1285.33</v>
      </c>
      <c r="Z61" s="5">
        <v>111.9</v>
      </c>
      <c r="AA61" s="5" t="s">
        <v>68</v>
      </c>
      <c r="AB61" s="5"/>
      <c r="AC61" s="5"/>
      <c r="AD61" s="5" t="s">
        <v>76</v>
      </c>
      <c r="AE61" s="5"/>
      <c r="AF61" s="5" t="s">
        <v>68</v>
      </c>
      <c r="AG61" s="5" t="s">
        <v>68</v>
      </c>
      <c r="AH61" s="5">
        <v>11138</v>
      </c>
      <c r="AI61" s="5"/>
      <c r="AJ61" s="12" t="s">
        <v>68</v>
      </c>
      <c r="AK61" s="5"/>
      <c r="AL61" s="12" t="s">
        <v>68</v>
      </c>
      <c r="AM61" s="12">
        <f>AH61+5004+8*1298</f>
        <v>26526</v>
      </c>
      <c r="AN61" s="12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</row>
    <row r="62" spans="1:240" s="2" customFormat="1" ht="30" customHeight="1">
      <c r="A62" s="5">
        <v>60</v>
      </c>
      <c r="B62" s="5" t="s">
        <v>68</v>
      </c>
      <c r="C62" s="5"/>
      <c r="D62" s="5"/>
      <c r="E62" s="5">
        <v>5560</v>
      </c>
      <c r="F62" s="5">
        <v>2230</v>
      </c>
      <c r="G62" s="5">
        <v>2210</v>
      </c>
      <c r="H62" s="5">
        <v>1332</v>
      </c>
      <c r="I62" s="5" t="s">
        <v>13</v>
      </c>
      <c r="J62" s="5">
        <v>96.9</v>
      </c>
      <c r="K62" s="10">
        <v>5</v>
      </c>
      <c r="L62" s="11">
        <v>557</v>
      </c>
      <c r="M62" s="31">
        <v>10</v>
      </c>
      <c r="N62" s="5">
        <v>55.1</v>
      </c>
      <c r="O62" s="5">
        <v>172368</v>
      </c>
      <c r="P62" s="5" t="s">
        <v>48</v>
      </c>
      <c r="Q62" s="5"/>
      <c r="R62" s="5">
        <v>8</v>
      </c>
      <c r="S62" s="5">
        <v>800</v>
      </c>
      <c r="T62" s="5">
        <v>660</v>
      </c>
      <c r="U62" s="5">
        <v>880</v>
      </c>
      <c r="V62" s="5">
        <f t="shared" si="3"/>
        <v>16</v>
      </c>
      <c r="W62" s="5" t="s">
        <v>10</v>
      </c>
      <c r="X62" s="5">
        <v>59</v>
      </c>
      <c r="Y62" s="5">
        <v>1927.93</v>
      </c>
      <c r="Z62" s="5">
        <v>167.9</v>
      </c>
      <c r="AA62" s="5" t="s">
        <v>68</v>
      </c>
      <c r="AB62" s="5"/>
      <c r="AC62" s="5"/>
      <c r="AD62" s="5" t="s">
        <v>76</v>
      </c>
      <c r="AE62" s="5"/>
      <c r="AF62" s="5" t="s">
        <v>68</v>
      </c>
      <c r="AG62" s="5" t="s">
        <v>68</v>
      </c>
      <c r="AH62" s="12">
        <v>12134</v>
      </c>
      <c r="AI62" s="12"/>
      <c r="AJ62" s="12" t="s">
        <v>68</v>
      </c>
      <c r="AK62" s="12"/>
      <c r="AL62" s="12" t="s">
        <v>68</v>
      </c>
      <c r="AM62" s="12">
        <f>AH62+5004+8*1298</f>
        <v>27522</v>
      </c>
      <c r="AN62" s="12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</row>
    <row r="63" spans="1:240" s="2" customFormat="1" ht="30" customHeight="1">
      <c r="A63" s="5">
        <v>61</v>
      </c>
      <c r="B63" s="5" t="s">
        <v>68</v>
      </c>
      <c r="C63" s="5"/>
      <c r="D63" s="5"/>
      <c r="E63" s="5">
        <v>5560</v>
      </c>
      <c r="F63" s="5">
        <v>2230</v>
      </c>
      <c r="G63" s="5">
        <v>2210</v>
      </c>
      <c r="H63" s="5">
        <v>1530</v>
      </c>
      <c r="I63" s="5" t="s">
        <v>13</v>
      </c>
      <c r="J63" s="5">
        <v>109.1</v>
      </c>
      <c r="K63" s="10">
        <v>5</v>
      </c>
      <c r="L63" s="11">
        <v>627.4</v>
      </c>
      <c r="M63" s="31">
        <v>10</v>
      </c>
      <c r="N63" s="5">
        <v>68.599999999999994</v>
      </c>
      <c r="O63" s="5">
        <v>167083</v>
      </c>
      <c r="P63" s="5" t="s">
        <v>48</v>
      </c>
      <c r="Q63" s="5"/>
      <c r="R63" s="5">
        <v>8</v>
      </c>
      <c r="S63" s="5">
        <v>800</v>
      </c>
      <c r="T63" s="5">
        <v>660</v>
      </c>
      <c r="U63" s="5">
        <v>880</v>
      </c>
      <c r="V63" s="5">
        <f t="shared" si="3"/>
        <v>16</v>
      </c>
      <c r="W63" s="5" t="s">
        <v>10</v>
      </c>
      <c r="X63" s="5">
        <v>59</v>
      </c>
      <c r="Y63" s="5">
        <v>2570.5300000000002</v>
      </c>
      <c r="Z63" s="5">
        <v>223.9</v>
      </c>
      <c r="AA63" s="5" t="s">
        <v>68</v>
      </c>
      <c r="AB63" s="5"/>
      <c r="AC63" s="5"/>
      <c r="AD63" s="5" t="s">
        <v>76</v>
      </c>
      <c r="AE63" s="5"/>
      <c r="AF63" s="5" t="s">
        <v>68</v>
      </c>
      <c r="AG63" s="5" t="s">
        <v>68</v>
      </c>
      <c r="AH63" s="5">
        <v>14010</v>
      </c>
      <c r="AI63" s="5"/>
      <c r="AJ63" s="12" t="s">
        <v>68</v>
      </c>
      <c r="AK63" s="5"/>
      <c r="AL63" s="12" t="s">
        <v>68</v>
      </c>
      <c r="AM63" s="12">
        <f>AH63+5004+8*1298</f>
        <v>29398</v>
      </c>
      <c r="AN63" s="12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</row>
    <row r="64" spans="1:240" s="2" customFormat="1" ht="30" customHeight="1">
      <c r="A64" s="5">
        <v>62</v>
      </c>
      <c r="B64" s="5" t="s">
        <v>68</v>
      </c>
      <c r="C64" s="5"/>
      <c r="D64" s="5"/>
      <c r="E64" s="5">
        <v>6870</v>
      </c>
      <c r="F64" s="5">
        <v>2230</v>
      </c>
      <c r="G64" s="5">
        <v>2210</v>
      </c>
      <c r="H64" s="5">
        <v>1440</v>
      </c>
      <c r="I64" s="5" t="s">
        <v>13</v>
      </c>
      <c r="J64" s="5">
        <v>97.4</v>
      </c>
      <c r="K64" s="10">
        <v>5</v>
      </c>
      <c r="L64" s="11">
        <v>560.1</v>
      </c>
      <c r="M64" s="31">
        <v>10</v>
      </c>
      <c r="N64" s="5">
        <v>77.2</v>
      </c>
      <c r="O64" s="5">
        <v>222214</v>
      </c>
      <c r="P64" s="5" t="s">
        <v>48</v>
      </c>
      <c r="Q64" s="5"/>
      <c r="R64" s="5">
        <v>10</v>
      </c>
      <c r="S64" s="5">
        <v>800</v>
      </c>
      <c r="T64" s="5">
        <v>660</v>
      </c>
      <c r="U64" s="5">
        <v>880</v>
      </c>
      <c r="V64" s="5">
        <f t="shared" si="3"/>
        <v>20</v>
      </c>
      <c r="W64" s="5" t="s">
        <v>10</v>
      </c>
      <c r="X64" s="5">
        <v>60</v>
      </c>
      <c r="Y64" s="5">
        <v>1609.61</v>
      </c>
      <c r="Z64" s="5">
        <v>140.19999999999999</v>
      </c>
      <c r="AA64" s="5" t="s">
        <v>68</v>
      </c>
      <c r="AB64" s="5"/>
      <c r="AC64" s="5"/>
      <c r="AD64" s="5" t="s">
        <v>76</v>
      </c>
      <c r="AE64" s="5"/>
      <c r="AF64" s="5" t="s">
        <v>68</v>
      </c>
      <c r="AG64" s="5" t="s">
        <v>68</v>
      </c>
      <c r="AH64" s="5">
        <v>13391</v>
      </c>
      <c r="AI64" s="5"/>
      <c r="AJ64" s="12" t="s">
        <v>68</v>
      </c>
      <c r="AK64" s="5"/>
      <c r="AL64" s="12" t="s">
        <v>68</v>
      </c>
      <c r="AM64" s="12">
        <f>AH64+5917+1298*10</f>
        <v>32288</v>
      </c>
      <c r="AN64" s="12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</row>
    <row r="65" spans="1:240" s="2" customFormat="1" ht="30" customHeight="1">
      <c r="A65" s="5">
        <v>63</v>
      </c>
      <c r="B65" s="5" t="s">
        <v>68</v>
      </c>
      <c r="C65" s="5"/>
      <c r="D65" s="5"/>
      <c r="E65" s="5">
        <v>6870</v>
      </c>
      <c r="F65" s="5">
        <v>2230</v>
      </c>
      <c r="G65" s="5">
        <v>2210</v>
      </c>
      <c r="H65" s="5">
        <v>1665</v>
      </c>
      <c r="I65" s="5" t="s">
        <v>13</v>
      </c>
      <c r="J65" s="5">
        <v>121.2</v>
      </c>
      <c r="K65" s="10">
        <v>5</v>
      </c>
      <c r="L65" s="11">
        <v>697.1</v>
      </c>
      <c r="M65" s="31">
        <v>10</v>
      </c>
      <c r="N65" s="5">
        <v>55.7</v>
      </c>
      <c r="O65" s="5">
        <v>215525</v>
      </c>
      <c r="P65" s="5" t="s">
        <v>48</v>
      </c>
      <c r="Q65" s="5"/>
      <c r="R65" s="5">
        <v>10</v>
      </c>
      <c r="S65" s="5">
        <v>800</v>
      </c>
      <c r="T65" s="5">
        <v>660</v>
      </c>
      <c r="U65" s="5">
        <v>880</v>
      </c>
      <c r="V65" s="5">
        <f t="shared" si="3"/>
        <v>20</v>
      </c>
      <c r="W65" s="5" t="s">
        <v>10</v>
      </c>
      <c r="X65" s="5">
        <v>60</v>
      </c>
      <c r="Y65" s="5">
        <v>2414.4899999999998</v>
      </c>
      <c r="Z65" s="5">
        <v>210.3</v>
      </c>
      <c r="AA65" s="5" t="s">
        <v>68</v>
      </c>
      <c r="AB65" s="5"/>
      <c r="AC65" s="5"/>
      <c r="AD65" s="5" t="s">
        <v>76</v>
      </c>
      <c r="AE65" s="5"/>
      <c r="AF65" s="5" t="s">
        <v>68</v>
      </c>
      <c r="AG65" s="5" t="s">
        <v>68</v>
      </c>
      <c r="AH65" s="5">
        <v>14635</v>
      </c>
      <c r="AI65" s="5"/>
      <c r="AJ65" s="12" t="s">
        <v>68</v>
      </c>
      <c r="AK65" s="5"/>
      <c r="AL65" s="12" t="s">
        <v>68</v>
      </c>
      <c r="AM65" s="12">
        <f>AH65+5917+1298*10</f>
        <v>33532</v>
      </c>
      <c r="AN65" s="12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</row>
    <row r="66" spans="1:240" s="2" customFormat="1" ht="30" customHeight="1">
      <c r="A66" s="5">
        <v>64</v>
      </c>
      <c r="B66" s="5" t="s">
        <v>68</v>
      </c>
      <c r="C66" s="5"/>
      <c r="D66" s="5"/>
      <c r="E66" s="5">
        <v>6870</v>
      </c>
      <c r="F66" s="5">
        <v>2230</v>
      </c>
      <c r="G66" s="5">
        <v>2210</v>
      </c>
      <c r="H66" s="5">
        <v>1913</v>
      </c>
      <c r="I66" s="5" t="s">
        <v>13</v>
      </c>
      <c r="J66" s="5">
        <v>136.9</v>
      </c>
      <c r="K66" s="10">
        <v>5</v>
      </c>
      <c r="L66" s="11">
        <v>787.1</v>
      </c>
      <c r="M66" s="31">
        <v>10</v>
      </c>
      <c r="N66" s="5">
        <v>84.9</v>
      </c>
      <c r="O66" s="5">
        <v>208939</v>
      </c>
      <c r="P66" s="5" t="s">
        <v>48</v>
      </c>
      <c r="Q66" s="5"/>
      <c r="R66" s="5">
        <v>10</v>
      </c>
      <c r="S66" s="5">
        <v>800</v>
      </c>
      <c r="T66" s="5">
        <v>660</v>
      </c>
      <c r="U66" s="5">
        <v>880</v>
      </c>
      <c r="V66" s="5">
        <f t="shared" si="3"/>
        <v>20</v>
      </c>
      <c r="W66" s="5" t="s">
        <v>10</v>
      </c>
      <c r="X66" s="5">
        <v>60</v>
      </c>
      <c r="Y66" s="5">
        <v>3219.36</v>
      </c>
      <c r="Z66" s="5">
        <v>280.39999999999998</v>
      </c>
      <c r="AA66" s="5" t="s">
        <v>68</v>
      </c>
      <c r="AB66" s="5"/>
      <c r="AC66" s="5"/>
      <c r="AD66" s="5" t="s">
        <v>76</v>
      </c>
      <c r="AE66" s="5"/>
      <c r="AF66" s="5" t="s">
        <v>68</v>
      </c>
      <c r="AG66" s="5" t="s">
        <v>68</v>
      </c>
      <c r="AH66" s="12">
        <v>17123</v>
      </c>
      <c r="AI66" s="12"/>
      <c r="AJ66" s="12" t="s">
        <v>68</v>
      </c>
      <c r="AK66" s="12"/>
      <c r="AL66" s="12" t="s">
        <v>68</v>
      </c>
      <c r="AM66" s="12">
        <f>AH66+5917+1298*10</f>
        <v>36020</v>
      </c>
      <c r="AN66" s="12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</row>
    <row r="67" spans="1:240" s="2" customFormat="1" ht="30" customHeight="1">
      <c r="A67" s="5">
        <v>65</v>
      </c>
      <c r="B67" s="5" t="s">
        <v>68</v>
      </c>
      <c r="C67" s="5"/>
      <c r="D67" s="5"/>
      <c r="E67" s="5">
        <v>8190</v>
      </c>
      <c r="F67" s="5">
        <v>2230</v>
      </c>
      <c r="G67" s="5">
        <v>2210</v>
      </c>
      <c r="H67" s="5">
        <v>1620</v>
      </c>
      <c r="I67" s="5" t="s">
        <v>13</v>
      </c>
      <c r="J67" s="5">
        <v>112.8</v>
      </c>
      <c r="K67" s="10">
        <v>5</v>
      </c>
      <c r="L67" s="11">
        <v>648.4</v>
      </c>
      <c r="M67" s="31">
        <v>10</v>
      </c>
      <c r="N67" s="5">
        <v>17.399999999999999</v>
      </c>
      <c r="O67" s="5">
        <v>266691</v>
      </c>
      <c r="P67" s="5" t="s">
        <v>48</v>
      </c>
      <c r="Q67" s="5"/>
      <c r="R67" s="5">
        <v>12</v>
      </c>
      <c r="S67" s="5">
        <v>800</v>
      </c>
      <c r="T67" s="5">
        <v>660</v>
      </c>
      <c r="U67" s="5">
        <v>880</v>
      </c>
      <c r="V67" s="5">
        <f t="shared" si="3"/>
        <v>24</v>
      </c>
      <c r="W67" s="5" t="s">
        <v>10</v>
      </c>
      <c r="X67" s="5">
        <v>61</v>
      </c>
      <c r="Y67" s="5">
        <v>1934.03</v>
      </c>
      <c r="Z67" s="5">
        <v>168.5</v>
      </c>
      <c r="AA67" s="5" t="s">
        <v>68</v>
      </c>
      <c r="AB67" s="5"/>
      <c r="AC67" s="5"/>
      <c r="AD67" s="5" t="s">
        <v>76</v>
      </c>
      <c r="AE67" s="5"/>
      <c r="AF67" s="5" t="s">
        <v>68</v>
      </c>
      <c r="AG67" s="5" t="s">
        <v>68</v>
      </c>
      <c r="AH67" s="12">
        <v>15641</v>
      </c>
      <c r="AI67" s="12"/>
      <c r="AJ67" s="12" t="s">
        <v>68</v>
      </c>
      <c r="AK67" s="12"/>
      <c r="AL67" s="12" t="s">
        <v>68</v>
      </c>
      <c r="AM67" s="12">
        <f>AH67+6680+1298*12</f>
        <v>37897</v>
      </c>
      <c r="AN67" s="12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</row>
    <row r="68" spans="1:240" s="2" customFormat="1" ht="30" customHeight="1">
      <c r="A68" s="5">
        <v>66</v>
      </c>
      <c r="B68" s="5" t="s">
        <v>68</v>
      </c>
      <c r="C68" s="5"/>
      <c r="D68" s="5"/>
      <c r="E68" s="5">
        <v>8190</v>
      </c>
      <c r="F68" s="5">
        <v>2230</v>
      </c>
      <c r="G68" s="5">
        <v>2210</v>
      </c>
      <c r="H68" s="5">
        <v>1890</v>
      </c>
      <c r="I68" s="5" t="s">
        <v>13</v>
      </c>
      <c r="J68" s="5">
        <v>140.69999999999999</v>
      </c>
      <c r="K68" s="10">
        <v>5</v>
      </c>
      <c r="L68" s="11">
        <v>809.2</v>
      </c>
      <c r="M68" s="31">
        <v>10</v>
      </c>
      <c r="N68" s="5">
        <v>12.6</v>
      </c>
      <c r="O68" s="5">
        <v>258681</v>
      </c>
      <c r="P68" s="5" t="s">
        <v>48</v>
      </c>
      <c r="Q68" s="5"/>
      <c r="R68" s="5">
        <v>12</v>
      </c>
      <c r="S68" s="5">
        <v>800</v>
      </c>
      <c r="T68" s="5">
        <v>660</v>
      </c>
      <c r="U68" s="5">
        <v>880</v>
      </c>
      <c r="V68" s="5">
        <f t="shared" si="3"/>
        <v>24</v>
      </c>
      <c r="W68" s="5" t="s">
        <v>10</v>
      </c>
      <c r="X68" s="5">
        <v>61</v>
      </c>
      <c r="Y68" s="5">
        <v>2901.18</v>
      </c>
      <c r="Z68" s="5">
        <v>252.7</v>
      </c>
      <c r="AA68" s="5" t="s">
        <v>68</v>
      </c>
      <c r="AB68" s="5"/>
      <c r="AC68" s="5"/>
      <c r="AD68" s="5" t="s">
        <v>76</v>
      </c>
      <c r="AE68" s="5"/>
      <c r="AF68" s="5" t="s">
        <v>68</v>
      </c>
      <c r="AG68" s="5" t="s">
        <v>68</v>
      </c>
      <c r="AH68" s="12">
        <v>17136</v>
      </c>
      <c r="AI68" s="12"/>
      <c r="AJ68" s="12" t="s">
        <v>68</v>
      </c>
      <c r="AK68" s="12"/>
      <c r="AL68" s="12" t="s">
        <v>68</v>
      </c>
      <c r="AM68" s="12">
        <f>AH68+6680+1298*12</f>
        <v>39392</v>
      </c>
      <c r="AN68" s="12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</row>
    <row r="69" spans="1:240" s="2" customFormat="1" ht="30" customHeight="1">
      <c r="A69" s="5">
        <v>67</v>
      </c>
      <c r="B69" s="5" t="s">
        <v>68</v>
      </c>
      <c r="C69" s="5"/>
      <c r="D69" s="5"/>
      <c r="E69" s="5">
        <v>8190</v>
      </c>
      <c r="F69" s="5">
        <v>2230</v>
      </c>
      <c r="G69" s="5">
        <v>2210</v>
      </c>
      <c r="H69" s="5">
        <v>2250</v>
      </c>
      <c r="I69" s="5" t="s">
        <v>13</v>
      </c>
      <c r="J69" s="5">
        <v>163.9</v>
      </c>
      <c r="K69" s="10">
        <v>5</v>
      </c>
      <c r="L69" s="11">
        <v>942.2</v>
      </c>
      <c r="M69" s="31">
        <v>10</v>
      </c>
      <c r="N69" s="5">
        <v>67.7</v>
      </c>
      <c r="O69" s="5">
        <v>250794</v>
      </c>
      <c r="P69" s="5" t="s">
        <v>48</v>
      </c>
      <c r="Q69" s="5"/>
      <c r="R69" s="5">
        <v>12</v>
      </c>
      <c r="S69" s="5">
        <v>800</v>
      </c>
      <c r="T69" s="5">
        <v>660</v>
      </c>
      <c r="U69" s="5">
        <v>880</v>
      </c>
      <c r="V69" s="5">
        <f t="shared" si="3"/>
        <v>24</v>
      </c>
      <c r="W69" s="5" t="s">
        <v>10</v>
      </c>
      <c r="X69" s="5">
        <v>61</v>
      </c>
      <c r="Y69" s="5">
        <v>3868.2</v>
      </c>
      <c r="Z69" s="5">
        <v>336.9</v>
      </c>
      <c r="AA69" s="5" t="s">
        <v>68</v>
      </c>
      <c r="AB69" s="5"/>
      <c r="AC69" s="5"/>
      <c r="AD69" s="5" t="s">
        <v>76</v>
      </c>
      <c r="AE69" s="5"/>
      <c r="AF69" s="5" t="s">
        <v>68</v>
      </c>
      <c r="AG69" s="5" t="s">
        <v>68</v>
      </c>
      <c r="AH69" s="12">
        <v>20121</v>
      </c>
      <c r="AI69" s="12"/>
      <c r="AJ69" s="12" t="s">
        <v>68</v>
      </c>
      <c r="AK69" s="12"/>
      <c r="AL69" s="12" t="s">
        <v>68</v>
      </c>
      <c r="AM69" s="12">
        <f>AH69+6680+1298*12</f>
        <v>42377</v>
      </c>
      <c r="AN69" s="12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</row>
    <row r="70" spans="1:240" s="2" customFormat="1" ht="30" customHeight="1">
      <c r="A70" s="5">
        <v>68</v>
      </c>
      <c r="B70" s="5" t="s">
        <v>68</v>
      </c>
      <c r="C70" s="5"/>
      <c r="D70" s="5"/>
      <c r="E70" s="5">
        <v>9430</v>
      </c>
      <c r="F70" s="5">
        <v>2230</v>
      </c>
      <c r="G70" s="5">
        <v>2210</v>
      </c>
      <c r="H70" s="5">
        <v>2070</v>
      </c>
      <c r="I70" s="5" t="s">
        <v>13</v>
      </c>
      <c r="J70" s="5">
        <v>133.30000000000001</v>
      </c>
      <c r="K70" s="10">
        <v>5</v>
      </c>
      <c r="L70" s="11">
        <v>766.6</v>
      </c>
      <c r="M70" s="31">
        <v>10</v>
      </c>
      <c r="N70" s="5">
        <v>27.2</v>
      </c>
      <c r="O70" s="5">
        <v>311169</v>
      </c>
      <c r="P70" s="5" t="s">
        <v>48</v>
      </c>
      <c r="Q70" s="5"/>
      <c r="R70" s="5">
        <v>14</v>
      </c>
      <c r="S70" s="5">
        <v>800</v>
      </c>
      <c r="T70" s="5">
        <v>660</v>
      </c>
      <c r="U70" s="5">
        <v>880</v>
      </c>
      <c r="V70" s="5">
        <f t="shared" si="3"/>
        <v>28</v>
      </c>
      <c r="W70" s="5" t="s">
        <v>10</v>
      </c>
      <c r="X70" s="5">
        <v>61</v>
      </c>
      <c r="Y70" s="5">
        <v>2258.4499999999998</v>
      </c>
      <c r="Z70" s="5">
        <v>196.7</v>
      </c>
      <c r="AA70" s="5" t="s">
        <v>68</v>
      </c>
      <c r="AB70" s="5"/>
      <c r="AC70" s="5"/>
      <c r="AD70" s="5" t="s">
        <v>76</v>
      </c>
      <c r="AE70" s="5"/>
      <c r="AF70" s="5" t="s">
        <v>68</v>
      </c>
      <c r="AG70" s="5" t="s">
        <v>68</v>
      </c>
      <c r="AH70" s="12" t="s">
        <v>48</v>
      </c>
      <c r="AI70" s="12"/>
      <c r="AJ70" s="12"/>
      <c r="AK70" s="12"/>
      <c r="AL70" s="12"/>
      <c r="AM70" s="12"/>
      <c r="AN70" s="12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</row>
    <row r="71" spans="1:240" s="2" customFormat="1" ht="30" customHeight="1">
      <c r="A71" s="5">
        <v>69</v>
      </c>
      <c r="B71" s="5" t="s">
        <v>68</v>
      </c>
      <c r="C71" s="5"/>
      <c r="D71" s="5"/>
      <c r="E71" s="5">
        <v>9490</v>
      </c>
      <c r="F71" s="5">
        <v>2230</v>
      </c>
      <c r="G71" s="5">
        <v>2210</v>
      </c>
      <c r="H71" s="5">
        <v>2340</v>
      </c>
      <c r="I71" s="5" t="s">
        <v>13</v>
      </c>
      <c r="J71" s="5">
        <v>166.2</v>
      </c>
      <c r="K71" s="10">
        <v>5</v>
      </c>
      <c r="L71" s="11">
        <v>955.7</v>
      </c>
      <c r="M71" s="31">
        <v>10</v>
      </c>
      <c r="N71" s="5">
        <v>19.7</v>
      </c>
      <c r="O71" s="5">
        <v>301838</v>
      </c>
      <c r="P71" s="5" t="s">
        <v>48</v>
      </c>
      <c r="Q71" s="5"/>
      <c r="R71" s="5">
        <v>14</v>
      </c>
      <c r="S71" s="5">
        <v>800</v>
      </c>
      <c r="T71" s="5">
        <v>660</v>
      </c>
      <c r="U71" s="5">
        <v>880</v>
      </c>
      <c r="V71" s="5">
        <f t="shared" si="3"/>
        <v>28</v>
      </c>
      <c r="W71" s="5" t="s">
        <v>10</v>
      </c>
      <c r="X71" s="5">
        <v>61</v>
      </c>
      <c r="Y71" s="5">
        <v>3387.74</v>
      </c>
      <c r="Z71" s="5">
        <v>295.10000000000002</v>
      </c>
      <c r="AA71" s="5" t="s">
        <v>68</v>
      </c>
      <c r="AB71" s="5"/>
      <c r="AC71" s="5"/>
      <c r="AD71" s="5" t="s">
        <v>76</v>
      </c>
      <c r="AE71" s="5"/>
      <c r="AF71" s="5" t="s">
        <v>68</v>
      </c>
      <c r="AG71" s="5" t="s">
        <v>68</v>
      </c>
      <c r="AH71" s="12" t="s">
        <v>48</v>
      </c>
      <c r="AI71" s="12"/>
      <c r="AJ71" s="12"/>
      <c r="AK71" s="12"/>
      <c r="AL71" s="12"/>
      <c r="AM71" s="12"/>
      <c r="AN71" s="12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</row>
    <row r="72" spans="1:240" s="2" customFormat="1" ht="30" customHeight="1">
      <c r="A72" s="5">
        <v>70</v>
      </c>
      <c r="B72" s="5" t="s">
        <v>68</v>
      </c>
      <c r="C72" s="5"/>
      <c r="D72" s="5"/>
      <c r="E72" s="5">
        <v>9490</v>
      </c>
      <c r="F72" s="5">
        <v>2230</v>
      </c>
      <c r="G72" s="5">
        <v>2210</v>
      </c>
      <c r="H72" s="5">
        <v>2691</v>
      </c>
      <c r="I72" s="5" t="s">
        <v>13</v>
      </c>
      <c r="J72" s="5">
        <v>186.1</v>
      </c>
      <c r="K72" s="10">
        <v>5</v>
      </c>
      <c r="L72" s="11">
        <v>1069.9000000000001</v>
      </c>
      <c r="M72" s="31">
        <v>10</v>
      </c>
      <c r="N72" s="5">
        <v>14.4</v>
      </c>
      <c r="O72" s="5">
        <v>292649</v>
      </c>
      <c r="P72" s="5" t="s">
        <v>48</v>
      </c>
      <c r="Q72" s="5"/>
      <c r="R72" s="5">
        <v>14</v>
      </c>
      <c r="S72" s="5">
        <v>800</v>
      </c>
      <c r="T72" s="5">
        <v>660</v>
      </c>
      <c r="U72" s="5">
        <v>880</v>
      </c>
      <c r="V72" s="5">
        <f t="shared" si="3"/>
        <v>28</v>
      </c>
      <c r="W72" s="5" t="s">
        <v>10</v>
      </c>
      <c r="X72" s="5">
        <v>61</v>
      </c>
      <c r="Y72" s="5">
        <v>4517.03</v>
      </c>
      <c r="Z72" s="5">
        <v>393.4</v>
      </c>
      <c r="AA72" s="5" t="s">
        <v>68</v>
      </c>
      <c r="AB72" s="5"/>
      <c r="AC72" s="5"/>
      <c r="AD72" s="5" t="s">
        <v>76</v>
      </c>
      <c r="AE72" s="5"/>
      <c r="AF72" s="5" t="s">
        <v>68</v>
      </c>
      <c r="AG72" s="5" t="s">
        <v>68</v>
      </c>
      <c r="AH72" s="12" t="s">
        <v>48</v>
      </c>
      <c r="AI72" s="12"/>
      <c r="AJ72" s="12"/>
      <c r="AK72" s="12"/>
      <c r="AL72" s="12"/>
      <c r="AM72" s="12"/>
      <c r="AN72" s="12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</row>
    <row r="73" spans="1:240" s="2" customFormat="1" ht="30" customHeight="1">
      <c r="A73" s="5">
        <v>71</v>
      </c>
      <c r="B73" s="5" t="s">
        <v>68</v>
      </c>
      <c r="C73" s="5"/>
      <c r="D73" s="5"/>
      <c r="E73" s="5">
        <v>10800</v>
      </c>
      <c r="F73" s="5">
        <v>2230</v>
      </c>
      <c r="G73" s="5">
        <v>2210</v>
      </c>
      <c r="H73" s="5">
        <v>2430</v>
      </c>
      <c r="I73" s="5" t="s">
        <v>13</v>
      </c>
      <c r="J73" s="5">
        <v>153.9</v>
      </c>
      <c r="K73" s="10">
        <v>5</v>
      </c>
      <c r="L73" s="11">
        <v>885</v>
      </c>
      <c r="M73" s="31">
        <v>10</v>
      </c>
      <c r="N73" s="5">
        <v>40</v>
      </c>
      <c r="O73" s="5">
        <v>355646</v>
      </c>
      <c r="P73" s="5" t="s">
        <v>48</v>
      </c>
      <c r="Q73" s="5"/>
      <c r="R73" s="5">
        <v>16</v>
      </c>
      <c r="S73" s="5">
        <v>800</v>
      </c>
      <c r="T73" s="5">
        <v>660</v>
      </c>
      <c r="U73" s="5">
        <v>880</v>
      </c>
      <c r="V73" s="5">
        <f t="shared" si="3"/>
        <v>32</v>
      </c>
      <c r="W73" s="5" t="s">
        <v>10</v>
      </c>
      <c r="X73" s="5">
        <v>62</v>
      </c>
      <c r="Y73" s="5">
        <v>2582.86</v>
      </c>
      <c r="Z73" s="5">
        <v>225</v>
      </c>
      <c r="AA73" s="5" t="s">
        <v>68</v>
      </c>
      <c r="AB73" s="5"/>
      <c r="AC73" s="5"/>
      <c r="AD73" s="5" t="s">
        <v>76</v>
      </c>
      <c r="AE73" s="5"/>
      <c r="AF73" s="5" t="s">
        <v>68</v>
      </c>
      <c r="AG73" s="5" t="s">
        <v>68</v>
      </c>
      <c r="AH73" s="12" t="s">
        <v>48</v>
      </c>
      <c r="AI73" s="12"/>
      <c r="AJ73" s="12"/>
      <c r="AK73" s="12"/>
      <c r="AL73" s="12"/>
      <c r="AM73" s="12"/>
      <c r="AN73" s="12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</row>
    <row r="74" spans="1:240" s="2" customFormat="1" ht="30" customHeight="1">
      <c r="A74" s="5">
        <v>72</v>
      </c>
      <c r="B74" s="5" t="s">
        <v>68</v>
      </c>
      <c r="C74" s="5"/>
      <c r="D74" s="5"/>
      <c r="E74" s="5">
        <v>10800</v>
      </c>
      <c r="F74" s="5">
        <v>2230</v>
      </c>
      <c r="G74" s="5">
        <v>2210</v>
      </c>
      <c r="H74" s="5">
        <v>2682</v>
      </c>
      <c r="I74" s="5" t="s">
        <v>13</v>
      </c>
      <c r="J74" s="5">
        <v>191.7</v>
      </c>
      <c r="K74" s="10">
        <v>5</v>
      </c>
      <c r="L74" s="11">
        <v>1102.4000000000001</v>
      </c>
      <c r="M74" s="31">
        <v>10</v>
      </c>
      <c r="N74" s="5">
        <v>28.9</v>
      </c>
      <c r="O74" s="5">
        <v>344995</v>
      </c>
      <c r="P74" s="5" t="s">
        <v>48</v>
      </c>
      <c r="Q74" s="5"/>
      <c r="R74" s="5">
        <v>16</v>
      </c>
      <c r="S74" s="5">
        <v>800</v>
      </c>
      <c r="T74" s="5">
        <v>660</v>
      </c>
      <c r="U74" s="5">
        <v>880</v>
      </c>
      <c r="V74" s="5">
        <f t="shared" si="3"/>
        <v>32</v>
      </c>
      <c r="W74" s="5" t="s">
        <v>10</v>
      </c>
      <c r="X74" s="5">
        <v>62</v>
      </c>
      <c r="Y74" s="5">
        <v>3874.43</v>
      </c>
      <c r="Z74" s="5">
        <v>337.5</v>
      </c>
      <c r="AA74" s="5" t="s">
        <v>68</v>
      </c>
      <c r="AB74" s="5"/>
      <c r="AC74" s="5"/>
      <c r="AD74" s="5" t="s">
        <v>76</v>
      </c>
      <c r="AE74" s="5"/>
      <c r="AF74" s="5" t="s">
        <v>68</v>
      </c>
      <c r="AG74" s="5" t="s">
        <v>68</v>
      </c>
      <c r="AH74" s="12" t="s">
        <v>48</v>
      </c>
      <c r="AI74" s="12"/>
      <c r="AJ74" s="12"/>
      <c r="AK74" s="12"/>
      <c r="AL74" s="12"/>
      <c r="AM74" s="12"/>
      <c r="AN74" s="12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</row>
    <row r="75" spans="1:240" s="2" customFormat="1" ht="30" customHeight="1">
      <c r="A75" s="5">
        <v>73</v>
      </c>
      <c r="B75" s="5" t="s">
        <v>68</v>
      </c>
      <c r="C75" s="5"/>
      <c r="D75" s="5"/>
      <c r="E75" s="5">
        <v>10800</v>
      </c>
      <c r="F75" s="5">
        <v>2230</v>
      </c>
      <c r="G75" s="5">
        <v>2210</v>
      </c>
      <c r="H75" s="5">
        <v>3042</v>
      </c>
      <c r="I75" s="5" t="s">
        <v>13</v>
      </c>
      <c r="J75" s="5">
        <v>214.5</v>
      </c>
      <c r="K75" s="10">
        <v>5</v>
      </c>
      <c r="L75" s="11">
        <v>1233.5</v>
      </c>
      <c r="M75" s="31">
        <v>10</v>
      </c>
      <c r="N75" s="5">
        <v>21.2</v>
      </c>
      <c r="O75" s="5">
        <v>334504</v>
      </c>
      <c r="P75" s="5" t="s">
        <v>48</v>
      </c>
      <c r="Q75" s="5"/>
      <c r="R75" s="5">
        <v>16</v>
      </c>
      <c r="S75" s="5">
        <v>800</v>
      </c>
      <c r="T75" s="5">
        <v>660</v>
      </c>
      <c r="U75" s="5">
        <v>880</v>
      </c>
      <c r="V75" s="5">
        <f t="shared" si="3"/>
        <v>32</v>
      </c>
      <c r="W75" s="5" t="s">
        <v>10</v>
      </c>
      <c r="X75" s="5">
        <v>62</v>
      </c>
      <c r="Y75" s="5">
        <v>5165.8599999999997</v>
      </c>
      <c r="Z75" s="5">
        <v>450</v>
      </c>
      <c r="AA75" s="5" t="s">
        <v>68</v>
      </c>
      <c r="AB75" s="5"/>
      <c r="AC75" s="5"/>
      <c r="AD75" s="5" t="s">
        <v>76</v>
      </c>
      <c r="AE75" s="5"/>
      <c r="AF75" s="5" t="s">
        <v>68</v>
      </c>
      <c r="AG75" s="5" t="s">
        <v>68</v>
      </c>
      <c r="AH75" s="12" t="s">
        <v>48</v>
      </c>
      <c r="AI75" s="12"/>
      <c r="AJ75" s="12"/>
      <c r="AK75" s="12"/>
      <c r="AL75" s="12"/>
      <c r="AM75" s="12"/>
      <c r="AN75" s="12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</row>
    <row r="76" spans="1:240" s="2" customFormat="1" ht="30" customHeight="1">
      <c r="A76" s="5">
        <v>74</v>
      </c>
      <c r="B76" s="5" t="s">
        <v>68</v>
      </c>
      <c r="C76" s="5"/>
      <c r="D76" s="5"/>
      <c r="E76" s="5">
        <v>2940</v>
      </c>
      <c r="F76" s="5">
        <v>2230</v>
      </c>
      <c r="G76" s="5">
        <v>2210</v>
      </c>
      <c r="H76" s="5">
        <v>585</v>
      </c>
      <c r="I76" s="5" t="s">
        <v>13</v>
      </c>
      <c r="J76" s="5">
        <v>38.4</v>
      </c>
      <c r="K76" s="10">
        <v>5</v>
      </c>
      <c r="L76" s="11">
        <v>221</v>
      </c>
      <c r="M76" s="31">
        <v>10</v>
      </c>
      <c r="N76" s="5">
        <v>42.8</v>
      </c>
      <c r="O76" s="5">
        <v>89655</v>
      </c>
      <c r="P76" s="5" t="s">
        <v>48</v>
      </c>
      <c r="Q76" s="5"/>
      <c r="R76" s="5">
        <v>4</v>
      </c>
      <c r="S76" s="5">
        <v>910</v>
      </c>
      <c r="T76" s="5">
        <v>660</v>
      </c>
      <c r="U76" s="5">
        <v>860</v>
      </c>
      <c r="V76" s="5">
        <f t="shared" ref="V76:V96" si="4">1.65*R76</f>
        <v>6.6</v>
      </c>
      <c r="W76" s="5" t="s">
        <v>10</v>
      </c>
      <c r="X76" s="5">
        <v>58</v>
      </c>
      <c r="Y76" s="5">
        <v>636.5</v>
      </c>
      <c r="Z76" s="5">
        <v>55.4</v>
      </c>
      <c r="AA76" s="5" t="s">
        <v>68</v>
      </c>
      <c r="AB76" s="5"/>
      <c r="AC76" s="5"/>
      <c r="AD76" s="5" t="s">
        <v>76</v>
      </c>
      <c r="AE76" s="5"/>
      <c r="AF76" s="5" t="s">
        <v>68</v>
      </c>
      <c r="AG76" s="5" t="s">
        <v>68</v>
      </c>
      <c r="AH76" s="12">
        <v>7076</v>
      </c>
      <c r="AI76" s="12"/>
      <c r="AJ76" s="12" t="s">
        <v>68</v>
      </c>
      <c r="AK76" s="12"/>
      <c r="AL76" s="12" t="s">
        <v>68</v>
      </c>
      <c r="AM76" s="12">
        <f>AH76+4193+4*1194</f>
        <v>16045</v>
      </c>
      <c r="AN76" s="12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</row>
    <row r="77" spans="1:240" s="2" customFormat="1" ht="30" customHeight="1">
      <c r="A77" s="5">
        <v>75</v>
      </c>
      <c r="B77" s="5" t="s">
        <v>68</v>
      </c>
      <c r="C77" s="5"/>
      <c r="D77" s="5"/>
      <c r="E77" s="5">
        <v>2940</v>
      </c>
      <c r="F77" s="5">
        <v>2230</v>
      </c>
      <c r="G77" s="5">
        <v>2210</v>
      </c>
      <c r="H77" s="5">
        <v>675</v>
      </c>
      <c r="I77" s="5" t="s">
        <v>13</v>
      </c>
      <c r="J77" s="5">
        <v>48.6</v>
      </c>
      <c r="K77" s="10">
        <v>5</v>
      </c>
      <c r="L77" s="11">
        <v>279.2</v>
      </c>
      <c r="M77" s="31">
        <v>10</v>
      </c>
      <c r="N77" s="5">
        <v>63.8</v>
      </c>
      <c r="O77" s="5">
        <v>86693</v>
      </c>
      <c r="P77" s="5" t="s">
        <v>48</v>
      </c>
      <c r="Q77" s="5"/>
      <c r="R77" s="5">
        <v>4</v>
      </c>
      <c r="S77" s="5">
        <v>910</v>
      </c>
      <c r="T77" s="5">
        <v>660</v>
      </c>
      <c r="U77" s="5">
        <v>860</v>
      </c>
      <c r="V77" s="5">
        <f t="shared" si="4"/>
        <v>6.6</v>
      </c>
      <c r="W77" s="5" t="s">
        <v>10</v>
      </c>
      <c r="X77" s="5">
        <v>58</v>
      </c>
      <c r="Y77" s="5">
        <v>954.68</v>
      </c>
      <c r="Z77" s="5">
        <v>83.2</v>
      </c>
      <c r="AA77" s="5" t="s">
        <v>68</v>
      </c>
      <c r="AB77" s="5"/>
      <c r="AC77" s="5"/>
      <c r="AD77" s="5" t="s">
        <v>76</v>
      </c>
      <c r="AE77" s="5"/>
      <c r="AF77" s="5" t="s">
        <v>68</v>
      </c>
      <c r="AG77" s="5" t="s">
        <v>68</v>
      </c>
      <c r="AH77" s="12">
        <v>7624</v>
      </c>
      <c r="AI77" s="12"/>
      <c r="AJ77" s="12" t="s">
        <v>68</v>
      </c>
      <c r="AK77" s="12"/>
      <c r="AL77" s="12" t="s">
        <v>68</v>
      </c>
      <c r="AM77" s="12">
        <f>AH77+4193+4*1194</f>
        <v>16593</v>
      </c>
      <c r="AN77" s="12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</row>
    <row r="78" spans="1:240" s="2" customFormat="1" ht="30" customHeight="1">
      <c r="A78" s="5">
        <v>76</v>
      </c>
      <c r="B78" s="5" t="s">
        <v>68</v>
      </c>
      <c r="C78" s="5"/>
      <c r="D78" s="5"/>
      <c r="E78" s="5">
        <v>2940</v>
      </c>
      <c r="F78" s="5">
        <v>2230</v>
      </c>
      <c r="G78" s="5">
        <v>2210</v>
      </c>
      <c r="H78" s="5">
        <v>774</v>
      </c>
      <c r="I78" s="5" t="s">
        <v>13</v>
      </c>
      <c r="J78" s="5">
        <v>54.2</v>
      </c>
      <c r="K78" s="10">
        <v>5</v>
      </c>
      <c r="L78" s="11">
        <v>311.89999999999998</v>
      </c>
      <c r="M78" s="31">
        <v>10</v>
      </c>
      <c r="N78" s="5">
        <v>51.3</v>
      </c>
      <c r="O78" s="5">
        <v>83717</v>
      </c>
      <c r="P78" s="5" t="s">
        <v>48</v>
      </c>
      <c r="Q78" s="5"/>
      <c r="R78" s="5">
        <v>4</v>
      </c>
      <c r="S78" s="5">
        <v>910</v>
      </c>
      <c r="T78" s="5">
        <v>660</v>
      </c>
      <c r="U78" s="5">
        <v>860</v>
      </c>
      <c r="V78" s="5">
        <f t="shared" si="4"/>
        <v>6.6</v>
      </c>
      <c r="W78" s="5" t="s">
        <v>10</v>
      </c>
      <c r="X78" s="5">
        <v>58</v>
      </c>
      <c r="Y78" s="5">
        <v>1272.8599999999999</v>
      </c>
      <c r="Z78" s="5">
        <v>110.9</v>
      </c>
      <c r="AA78" s="5" t="s">
        <v>68</v>
      </c>
      <c r="AB78" s="5"/>
      <c r="AC78" s="5"/>
      <c r="AD78" s="5" t="s">
        <v>76</v>
      </c>
      <c r="AE78" s="5"/>
      <c r="AF78" s="5" t="s">
        <v>68</v>
      </c>
      <c r="AG78" s="5" t="s">
        <v>68</v>
      </c>
      <c r="AH78" s="12">
        <v>8720</v>
      </c>
      <c r="AI78" s="12"/>
      <c r="AJ78" s="12" t="s">
        <v>68</v>
      </c>
      <c r="AK78" s="12"/>
      <c r="AL78" s="12" t="s">
        <v>68</v>
      </c>
      <c r="AM78" s="12">
        <f>AH78+4193+4*1194</f>
        <v>17689</v>
      </c>
      <c r="AN78" s="12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</row>
    <row r="79" spans="1:240" s="2" customFormat="1" ht="30" customHeight="1">
      <c r="A79" s="5">
        <v>77</v>
      </c>
      <c r="B79" s="5" t="s">
        <v>68</v>
      </c>
      <c r="C79" s="5"/>
      <c r="D79" s="5"/>
      <c r="E79" s="5">
        <v>4250</v>
      </c>
      <c r="F79" s="5">
        <v>2230</v>
      </c>
      <c r="G79" s="5">
        <v>2210</v>
      </c>
      <c r="H79" s="5">
        <v>765</v>
      </c>
      <c r="I79" s="5" t="s">
        <v>13</v>
      </c>
      <c r="J79" s="5">
        <v>58.3</v>
      </c>
      <c r="K79" s="10">
        <v>5</v>
      </c>
      <c r="L79" s="11">
        <v>335.1</v>
      </c>
      <c r="M79" s="31">
        <v>10</v>
      </c>
      <c r="N79" s="5">
        <v>58.8</v>
      </c>
      <c r="O79" s="5">
        <v>134577</v>
      </c>
      <c r="P79" s="5" t="s">
        <v>48</v>
      </c>
      <c r="Q79" s="5"/>
      <c r="R79" s="5">
        <v>6</v>
      </c>
      <c r="S79" s="5">
        <v>910</v>
      </c>
      <c r="T79" s="5">
        <v>660</v>
      </c>
      <c r="U79" s="5">
        <v>860</v>
      </c>
      <c r="V79" s="5">
        <f t="shared" si="4"/>
        <v>9.8999999999999986</v>
      </c>
      <c r="W79" s="5" t="s">
        <v>10</v>
      </c>
      <c r="X79" s="5">
        <v>60</v>
      </c>
      <c r="Y79" s="5">
        <v>960.92</v>
      </c>
      <c r="Z79" s="5">
        <v>83.7</v>
      </c>
      <c r="AA79" s="5" t="s">
        <v>68</v>
      </c>
      <c r="AB79" s="5"/>
      <c r="AC79" s="5"/>
      <c r="AD79" s="5" t="s">
        <v>76</v>
      </c>
      <c r="AE79" s="5"/>
      <c r="AF79" s="5" t="s">
        <v>68</v>
      </c>
      <c r="AG79" s="5" t="s">
        <v>68</v>
      </c>
      <c r="AH79" s="12">
        <v>9607</v>
      </c>
      <c r="AI79" s="12"/>
      <c r="AJ79" s="12" t="s">
        <v>68</v>
      </c>
      <c r="AK79" s="12"/>
      <c r="AL79" s="12" t="s">
        <v>68</v>
      </c>
      <c r="AM79" s="12">
        <f>AH79+4137+6*1194</f>
        <v>20908</v>
      </c>
      <c r="AN79" s="12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</row>
    <row r="80" spans="1:240" s="2" customFormat="1" ht="30" customHeight="1">
      <c r="A80" s="5">
        <v>78</v>
      </c>
      <c r="B80" s="5" t="s">
        <v>68</v>
      </c>
      <c r="C80" s="5"/>
      <c r="D80" s="5"/>
      <c r="E80" s="5">
        <v>4250</v>
      </c>
      <c r="F80" s="5">
        <v>2230</v>
      </c>
      <c r="G80" s="5">
        <v>2210</v>
      </c>
      <c r="H80" s="5">
        <v>945</v>
      </c>
      <c r="I80" s="5" t="s">
        <v>13</v>
      </c>
      <c r="J80" s="5">
        <v>72.5</v>
      </c>
      <c r="K80" s="10">
        <v>5</v>
      </c>
      <c r="L80" s="11">
        <v>417</v>
      </c>
      <c r="M80" s="31">
        <v>10</v>
      </c>
      <c r="N80" s="5">
        <v>42.4</v>
      </c>
      <c r="O80" s="5">
        <v>130186</v>
      </c>
      <c r="P80" s="5" t="s">
        <v>48</v>
      </c>
      <c r="Q80" s="5"/>
      <c r="R80" s="5">
        <v>6</v>
      </c>
      <c r="S80" s="5">
        <v>910</v>
      </c>
      <c r="T80" s="5">
        <v>660</v>
      </c>
      <c r="U80" s="5">
        <v>860</v>
      </c>
      <c r="V80" s="5">
        <f t="shared" si="4"/>
        <v>9.8999999999999986</v>
      </c>
      <c r="W80" s="5" t="s">
        <v>10</v>
      </c>
      <c r="X80" s="5">
        <v>60</v>
      </c>
      <c r="Y80" s="5">
        <v>1441.24</v>
      </c>
      <c r="Z80" s="5">
        <v>125.5</v>
      </c>
      <c r="AA80" s="5" t="s">
        <v>68</v>
      </c>
      <c r="AB80" s="5"/>
      <c r="AC80" s="5"/>
      <c r="AD80" s="5" t="s">
        <v>76</v>
      </c>
      <c r="AE80" s="5"/>
      <c r="AF80" s="5" t="s">
        <v>68</v>
      </c>
      <c r="AG80" s="5" t="s">
        <v>68</v>
      </c>
      <c r="AH80" s="12">
        <v>10568</v>
      </c>
      <c r="AI80" s="12"/>
      <c r="AJ80" s="12" t="s">
        <v>68</v>
      </c>
      <c r="AK80" s="12"/>
      <c r="AL80" s="12" t="s">
        <v>68</v>
      </c>
      <c r="AM80" s="12">
        <f>AH80+4137+6*1194</f>
        <v>21869</v>
      </c>
      <c r="AN80" s="12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</row>
    <row r="81" spans="1:240" s="2" customFormat="1" ht="30" customHeight="1">
      <c r="A81" s="5">
        <v>79</v>
      </c>
      <c r="B81" s="5" t="s">
        <v>68</v>
      </c>
      <c r="C81" s="5"/>
      <c r="D81" s="5"/>
      <c r="E81" s="5">
        <v>4250</v>
      </c>
      <c r="F81" s="5">
        <v>2230</v>
      </c>
      <c r="G81" s="5">
        <v>2210</v>
      </c>
      <c r="H81" s="5">
        <v>1125</v>
      </c>
      <c r="I81" s="5" t="s">
        <v>13</v>
      </c>
      <c r="J81" s="5">
        <v>82</v>
      </c>
      <c r="K81" s="10">
        <v>5</v>
      </c>
      <c r="L81" s="11">
        <v>471.4</v>
      </c>
      <c r="M81" s="31">
        <v>10</v>
      </c>
      <c r="N81" s="5">
        <v>70</v>
      </c>
      <c r="O81" s="5">
        <v>125767</v>
      </c>
      <c r="P81" s="5" t="s">
        <v>48</v>
      </c>
      <c r="Q81" s="5"/>
      <c r="R81" s="5">
        <v>6</v>
      </c>
      <c r="S81" s="5">
        <v>910</v>
      </c>
      <c r="T81" s="5">
        <v>660</v>
      </c>
      <c r="U81" s="5">
        <v>860</v>
      </c>
      <c r="V81" s="5">
        <f t="shared" si="4"/>
        <v>9.8999999999999986</v>
      </c>
      <c r="W81" s="5" t="s">
        <v>10</v>
      </c>
      <c r="X81" s="5">
        <v>60</v>
      </c>
      <c r="Y81" s="5">
        <v>1921.7</v>
      </c>
      <c r="Z81" s="5">
        <v>167.4</v>
      </c>
      <c r="AA81" s="5" t="s">
        <v>68</v>
      </c>
      <c r="AB81" s="5"/>
      <c r="AC81" s="5"/>
      <c r="AD81" s="5" t="s">
        <v>76</v>
      </c>
      <c r="AE81" s="5"/>
      <c r="AF81" s="5" t="s">
        <v>68</v>
      </c>
      <c r="AG81" s="5" t="s">
        <v>68</v>
      </c>
      <c r="AH81" s="12">
        <v>12212</v>
      </c>
      <c r="AI81" s="12"/>
      <c r="AJ81" s="12" t="s">
        <v>68</v>
      </c>
      <c r="AK81" s="12"/>
      <c r="AL81" s="12" t="s">
        <v>68</v>
      </c>
      <c r="AM81" s="12">
        <f>AH81+4137+6*1194</f>
        <v>23513</v>
      </c>
      <c r="AN81" s="12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</row>
    <row r="82" spans="1:240" s="2" customFormat="1" ht="30" customHeight="1">
      <c r="A82" s="5">
        <v>80</v>
      </c>
      <c r="B82" s="5" t="s">
        <v>68</v>
      </c>
      <c r="C82" s="5"/>
      <c r="D82" s="5"/>
      <c r="E82" s="5">
        <v>5560</v>
      </c>
      <c r="F82" s="5">
        <v>2230</v>
      </c>
      <c r="G82" s="5">
        <v>2210</v>
      </c>
      <c r="H82" s="5">
        <v>1152</v>
      </c>
      <c r="I82" s="5" t="s">
        <v>13</v>
      </c>
      <c r="J82" s="5">
        <v>77.2</v>
      </c>
      <c r="K82" s="10">
        <v>5</v>
      </c>
      <c r="L82" s="11">
        <v>444</v>
      </c>
      <c r="M82" s="31">
        <v>10</v>
      </c>
      <c r="N82" s="5">
        <v>41.2</v>
      </c>
      <c r="O82" s="5">
        <v>179499</v>
      </c>
      <c r="P82" s="5" t="s">
        <v>48</v>
      </c>
      <c r="Q82" s="5"/>
      <c r="R82" s="5">
        <v>8</v>
      </c>
      <c r="S82" s="5">
        <v>910</v>
      </c>
      <c r="T82" s="5">
        <v>660</v>
      </c>
      <c r="U82" s="5">
        <v>860</v>
      </c>
      <c r="V82" s="5">
        <f t="shared" si="4"/>
        <v>13.2</v>
      </c>
      <c r="W82" s="5" t="s">
        <v>10</v>
      </c>
      <c r="X82" s="5">
        <v>61</v>
      </c>
      <c r="Y82" s="5">
        <v>1285.33</v>
      </c>
      <c r="Z82" s="5">
        <v>111.9</v>
      </c>
      <c r="AA82" s="5" t="s">
        <v>68</v>
      </c>
      <c r="AB82" s="5"/>
      <c r="AC82" s="5"/>
      <c r="AD82" s="5" t="s">
        <v>76</v>
      </c>
      <c r="AE82" s="5"/>
      <c r="AF82" s="5" t="s">
        <v>68</v>
      </c>
      <c r="AG82" s="5" t="s">
        <v>68</v>
      </c>
      <c r="AH82" s="12">
        <v>12273</v>
      </c>
      <c r="AI82" s="12"/>
      <c r="AJ82" s="12" t="s">
        <v>68</v>
      </c>
      <c r="AK82" s="12"/>
      <c r="AL82" s="12" t="s">
        <v>68</v>
      </c>
      <c r="AM82" s="12">
        <f>AH82+4914+1194*8</f>
        <v>26739</v>
      </c>
      <c r="AN82" s="12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</row>
    <row r="83" spans="1:240" s="2" customFormat="1" ht="30" customHeight="1">
      <c r="A83" s="5">
        <v>81</v>
      </c>
      <c r="B83" s="5" t="s">
        <v>68</v>
      </c>
      <c r="C83" s="5"/>
      <c r="D83" s="5"/>
      <c r="E83" s="5">
        <v>5560</v>
      </c>
      <c r="F83" s="5">
        <v>2230</v>
      </c>
      <c r="G83" s="5">
        <v>2210</v>
      </c>
      <c r="H83" s="5">
        <v>1332</v>
      </c>
      <c r="I83" s="5" t="s">
        <v>13</v>
      </c>
      <c r="J83" s="5">
        <v>97.4</v>
      </c>
      <c r="K83" s="10">
        <v>5</v>
      </c>
      <c r="L83" s="11">
        <v>559.79999999999995</v>
      </c>
      <c r="M83" s="31">
        <v>10</v>
      </c>
      <c r="N83" s="5">
        <v>55.6</v>
      </c>
      <c r="O83" s="5">
        <v>173678</v>
      </c>
      <c r="P83" s="5" t="s">
        <v>48</v>
      </c>
      <c r="Q83" s="5"/>
      <c r="R83" s="5">
        <v>8</v>
      </c>
      <c r="S83" s="5">
        <v>910</v>
      </c>
      <c r="T83" s="5">
        <v>660</v>
      </c>
      <c r="U83" s="5">
        <v>860</v>
      </c>
      <c r="V83" s="5">
        <f t="shared" si="4"/>
        <v>13.2</v>
      </c>
      <c r="W83" s="5" t="s">
        <v>10</v>
      </c>
      <c r="X83" s="5">
        <v>61</v>
      </c>
      <c r="Y83" s="5">
        <v>1927.93</v>
      </c>
      <c r="Z83" s="5">
        <v>167.9</v>
      </c>
      <c r="AA83" s="5" t="s">
        <v>68</v>
      </c>
      <c r="AB83" s="5"/>
      <c r="AC83" s="5"/>
      <c r="AD83" s="5" t="s">
        <v>76</v>
      </c>
      <c r="AE83" s="5"/>
      <c r="AF83" s="5" t="s">
        <v>68</v>
      </c>
      <c r="AG83" s="5" t="s">
        <v>68</v>
      </c>
      <c r="AH83" s="12">
        <v>13370</v>
      </c>
      <c r="AI83" s="12"/>
      <c r="AJ83" s="12" t="s">
        <v>68</v>
      </c>
      <c r="AK83" s="12"/>
      <c r="AL83" s="12" t="s">
        <v>68</v>
      </c>
      <c r="AM83" s="12">
        <f>AH83+4914+1194*8</f>
        <v>27836</v>
      </c>
      <c r="AN83" s="12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</row>
    <row r="84" spans="1:240" s="2" customFormat="1" ht="30" customHeight="1">
      <c r="A84" s="5">
        <v>82</v>
      </c>
      <c r="B84" s="5" t="s">
        <v>68</v>
      </c>
      <c r="C84" s="5"/>
      <c r="D84" s="5"/>
      <c r="E84" s="5">
        <v>5560</v>
      </c>
      <c r="F84" s="5">
        <v>2230</v>
      </c>
      <c r="G84" s="5">
        <v>2210</v>
      </c>
      <c r="H84" s="5">
        <v>1530</v>
      </c>
      <c r="I84" s="5" t="s">
        <v>13</v>
      </c>
      <c r="J84" s="5">
        <v>108.8</v>
      </c>
      <c r="K84" s="10">
        <v>5</v>
      </c>
      <c r="L84" s="11">
        <v>625.6</v>
      </c>
      <c r="M84" s="31">
        <v>10</v>
      </c>
      <c r="N84" s="5">
        <v>45.7</v>
      </c>
      <c r="O84" s="5">
        <v>167816</v>
      </c>
      <c r="P84" s="5" t="s">
        <v>48</v>
      </c>
      <c r="Q84" s="5"/>
      <c r="R84" s="5">
        <v>8</v>
      </c>
      <c r="S84" s="5">
        <v>910</v>
      </c>
      <c r="T84" s="5">
        <v>660</v>
      </c>
      <c r="U84" s="5">
        <v>860</v>
      </c>
      <c r="V84" s="5">
        <f t="shared" si="4"/>
        <v>13.2</v>
      </c>
      <c r="W84" s="5" t="s">
        <v>10</v>
      </c>
      <c r="X84" s="5">
        <v>61</v>
      </c>
      <c r="Y84" s="5">
        <v>2570.5300000000002</v>
      </c>
      <c r="Z84" s="5">
        <v>223.9</v>
      </c>
      <c r="AA84" s="5" t="s">
        <v>68</v>
      </c>
      <c r="AB84" s="5"/>
      <c r="AC84" s="5"/>
      <c r="AD84" s="5" t="s">
        <v>76</v>
      </c>
      <c r="AE84" s="5"/>
      <c r="AF84" s="5" t="s">
        <v>68</v>
      </c>
      <c r="AG84" s="5" t="s">
        <v>68</v>
      </c>
      <c r="AH84" s="12">
        <v>15562</v>
      </c>
      <c r="AI84" s="12"/>
      <c r="AJ84" s="12" t="s">
        <v>68</v>
      </c>
      <c r="AK84" s="12"/>
      <c r="AL84" s="12" t="s">
        <v>68</v>
      </c>
      <c r="AM84" s="12">
        <f>AH84+4914+1194*8</f>
        <v>30028</v>
      </c>
      <c r="AN84" s="12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</row>
    <row r="85" spans="1:240" s="2" customFormat="1" ht="30" customHeight="1">
      <c r="A85" s="5">
        <v>83</v>
      </c>
      <c r="B85" s="5" t="s">
        <v>68</v>
      </c>
      <c r="C85" s="5"/>
      <c r="D85" s="5"/>
      <c r="E85" s="5">
        <v>6870</v>
      </c>
      <c r="F85" s="5">
        <v>2230</v>
      </c>
      <c r="G85" s="5">
        <v>2210</v>
      </c>
      <c r="H85" s="5">
        <v>1440</v>
      </c>
      <c r="I85" s="5" t="s">
        <v>13</v>
      </c>
      <c r="J85" s="5">
        <v>98</v>
      </c>
      <c r="K85" s="10">
        <v>5</v>
      </c>
      <c r="L85" s="11">
        <v>563.29999999999995</v>
      </c>
      <c r="M85" s="31">
        <v>10</v>
      </c>
      <c r="N85" s="5">
        <v>78</v>
      </c>
      <c r="O85" s="5">
        <v>224420</v>
      </c>
      <c r="P85" s="5" t="s">
        <v>48</v>
      </c>
      <c r="Q85" s="5"/>
      <c r="R85" s="5">
        <v>10</v>
      </c>
      <c r="S85" s="5">
        <v>910</v>
      </c>
      <c r="T85" s="5">
        <v>660</v>
      </c>
      <c r="U85" s="5">
        <v>860</v>
      </c>
      <c r="V85" s="5">
        <f t="shared" si="4"/>
        <v>16.5</v>
      </c>
      <c r="W85" s="5" t="s">
        <v>10</v>
      </c>
      <c r="X85" s="5">
        <v>62</v>
      </c>
      <c r="Y85" s="5">
        <v>1609.61</v>
      </c>
      <c r="Z85" s="5">
        <v>140.19999999999999</v>
      </c>
      <c r="AA85" s="5" t="s">
        <v>68</v>
      </c>
      <c r="AB85" s="5"/>
      <c r="AC85" s="5"/>
      <c r="AD85" s="5" t="s">
        <v>76</v>
      </c>
      <c r="AE85" s="5"/>
      <c r="AF85" s="5" t="s">
        <v>68</v>
      </c>
      <c r="AG85" s="5" t="s">
        <v>68</v>
      </c>
      <c r="AH85" s="12">
        <v>14755</v>
      </c>
      <c r="AI85" s="12"/>
      <c r="AJ85" s="12" t="s">
        <v>68</v>
      </c>
      <c r="AK85" s="12"/>
      <c r="AL85" s="12" t="s">
        <v>68</v>
      </c>
      <c r="AM85" s="12">
        <f>AH85+5831+10*1194</f>
        <v>32526</v>
      </c>
      <c r="AN85" s="12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</row>
    <row r="86" spans="1:240" s="2" customFormat="1" ht="30" customHeight="1">
      <c r="A86" s="5">
        <v>84</v>
      </c>
      <c r="B86" s="5" t="s">
        <v>68</v>
      </c>
      <c r="C86" s="5"/>
      <c r="D86" s="5"/>
      <c r="E86" s="5">
        <v>6870</v>
      </c>
      <c r="F86" s="5">
        <v>2230</v>
      </c>
      <c r="G86" s="5">
        <v>2210</v>
      </c>
      <c r="H86" s="5">
        <v>1665</v>
      </c>
      <c r="I86" s="5" t="s">
        <v>13</v>
      </c>
      <c r="J86" s="5">
        <v>121.8</v>
      </c>
      <c r="K86" s="10">
        <v>5</v>
      </c>
      <c r="L86" s="11">
        <v>700.6</v>
      </c>
      <c r="M86" s="31">
        <v>10</v>
      </c>
      <c r="N86" s="5">
        <v>56.2</v>
      </c>
      <c r="O86" s="5">
        <v>217169</v>
      </c>
      <c r="P86" s="5" t="s">
        <v>48</v>
      </c>
      <c r="Q86" s="5"/>
      <c r="R86" s="5">
        <v>10</v>
      </c>
      <c r="S86" s="5">
        <v>910</v>
      </c>
      <c r="T86" s="5">
        <v>660</v>
      </c>
      <c r="U86" s="5">
        <v>860</v>
      </c>
      <c r="V86" s="5">
        <f t="shared" si="4"/>
        <v>16.5</v>
      </c>
      <c r="W86" s="5" t="s">
        <v>10</v>
      </c>
      <c r="X86" s="5">
        <v>62</v>
      </c>
      <c r="Y86" s="5">
        <v>2414.4899999999998</v>
      </c>
      <c r="Z86" s="5">
        <v>210.3</v>
      </c>
      <c r="AA86" s="5" t="s">
        <v>68</v>
      </c>
      <c r="AB86" s="5"/>
      <c r="AC86" s="5"/>
      <c r="AD86" s="5" t="s">
        <v>76</v>
      </c>
      <c r="AE86" s="5"/>
      <c r="AF86" s="5" t="s">
        <v>68</v>
      </c>
      <c r="AG86" s="5" t="s">
        <v>68</v>
      </c>
      <c r="AH86" s="12">
        <v>16125</v>
      </c>
      <c r="AI86" s="12"/>
      <c r="AJ86" s="12" t="s">
        <v>68</v>
      </c>
      <c r="AK86" s="12"/>
      <c r="AL86" s="12" t="s">
        <v>68</v>
      </c>
      <c r="AM86" s="12">
        <f>AH86+5831+10*1194</f>
        <v>33896</v>
      </c>
      <c r="AN86" s="12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</row>
    <row r="87" spans="1:240" s="2" customFormat="1" ht="30" customHeight="1">
      <c r="A87" s="5">
        <v>85</v>
      </c>
      <c r="B87" s="5" t="s">
        <v>68</v>
      </c>
      <c r="C87" s="5"/>
      <c r="D87" s="5"/>
      <c r="E87" s="5">
        <v>6870</v>
      </c>
      <c r="F87" s="5">
        <v>2230</v>
      </c>
      <c r="G87" s="5">
        <v>2210</v>
      </c>
      <c r="H87" s="5">
        <v>1913</v>
      </c>
      <c r="I87" s="5" t="s">
        <v>13</v>
      </c>
      <c r="J87" s="5">
        <v>135.9</v>
      </c>
      <c r="K87" s="10">
        <v>5</v>
      </c>
      <c r="L87" s="11">
        <v>781.3</v>
      </c>
      <c r="M87" s="31">
        <v>10</v>
      </c>
      <c r="N87" s="5">
        <v>40.799999999999997</v>
      </c>
      <c r="O87" s="5">
        <v>209865</v>
      </c>
      <c r="P87" s="5" t="s">
        <v>48</v>
      </c>
      <c r="Q87" s="5"/>
      <c r="R87" s="5">
        <v>10</v>
      </c>
      <c r="S87" s="5">
        <v>910</v>
      </c>
      <c r="T87" s="5">
        <v>660</v>
      </c>
      <c r="U87" s="5">
        <v>860</v>
      </c>
      <c r="V87" s="5">
        <f t="shared" si="4"/>
        <v>16.5</v>
      </c>
      <c r="W87" s="5" t="s">
        <v>10</v>
      </c>
      <c r="X87" s="5">
        <v>62</v>
      </c>
      <c r="Y87" s="5">
        <v>3219.36</v>
      </c>
      <c r="Z87" s="5">
        <v>280.39999999999998</v>
      </c>
      <c r="AA87" s="5" t="s">
        <v>68</v>
      </c>
      <c r="AB87" s="5"/>
      <c r="AC87" s="5"/>
      <c r="AD87" s="5" t="s">
        <v>76</v>
      </c>
      <c r="AE87" s="5"/>
      <c r="AF87" s="5" t="s">
        <v>68</v>
      </c>
      <c r="AG87" s="5" t="s">
        <v>68</v>
      </c>
      <c r="AH87" s="12">
        <v>18865</v>
      </c>
      <c r="AI87" s="12"/>
      <c r="AJ87" s="12" t="s">
        <v>68</v>
      </c>
      <c r="AK87" s="12"/>
      <c r="AL87" s="12" t="s">
        <v>68</v>
      </c>
      <c r="AM87" s="12">
        <f>AH87+5831+10*1194</f>
        <v>36636</v>
      </c>
      <c r="AN87" s="12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</row>
    <row r="88" spans="1:240" s="2" customFormat="1" ht="30" customHeight="1">
      <c r="A88" s="5">
        <v>86</v>
      </c>
      <c r="B88" s="5" t="s">
        <v>68</v>
      </c>
      <c r="C88" s="5"/>
      <c r="D88" s="5"/>
      <c r="E88" s="5">
        <v>8190</v>
      </c>
      <c r="F88" s="5">
        <v>2230</v>
      </c>
      <c r="G88" s="5">
        <v>2210</v>
      </c>
      <c r="H88" s="5">
        <v>1620</v>
      </c>
      <c r="I88" s="5" t="s">
        <v>13</v>
      </c>
      <c r="J88" s="5">
        <v>113.4</v>
      </c>
      <c r="K88" s="10">
        <v>5</v>
      </c>
      <c r="L88" s="11">
        <v>652.1</v>
      </c>
      <c r="M88" s="31">
        <v>10</v>
      </c>
      <c r="N88" s="5">
        <v>17.5</v>
      </c>
      <c r="O88" s="5">
        <v>269340</v>
      </c>
      <c r="P88" s="5" t="s">
        <v>48</v>
      </c>
      <c r="Q88" s="5"/>
      <c r="R88" s="5">
        <v>12</v>
      </c>
      <c r="S88" s="5">
        <v>910</v>
      </c>
      <c r="T88" s="5">
        <v>660</v>
      </c>
      <c r="U88" s="5">
        <v>860</v>
      </c>
      <c r="V88" s="5">
        <f t="shared" si="4"/>
        <v>19.799999999999997</v>
      </c>
      <c r="W88" s="5" t="s">
        <v>10</v>
      </c>
      <c r="X88" s="5">
        <v>63</v>
      </c>
      <c r="Y88" s="5">
        <v>1934.03</v>
      </c>
      <c r="Z88" s="5">
        <v>168.5</v>
      </c>
      <c r="AA88" s="5" t="s">
        <v>68</v>
      </c>
      <c r="AB88" s="5"/>
      <c r="AC88" s="5"/>
      <c r="AD88" s="5" t="s">
        <v>76</v>
      </c>
      <c r="AE88" s="5"/>
      <c r="AF88" s="5" t="s">
        <v>68</v>
      </c>
      <c r="AG88" s="5" t="s">
        <v>68</v>
      </c>
      <c r="AH88" s="12" t="s">
        <v>48</v>
      </c>
      <c r="AI88" s="12"/>
      <c r="AJ88" s="12"/>
      <c r="AK88" s="12"/>
      <c r="AL88" s="12"/>
      <c r="AM88" s="12"/>
      <c r="AN88" s="12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</row>
    <row r="89" spans="1:240" s="2" customFormat="1" ht="30" customHeight="1">
      <c r="A89" s="5">
        <v>87</v>
      </c>
      <c r="B89" s="5" t="s">
        <v>68</v>
      </c>
      <c r="C89" s="5"/>
      <c r="D89" s="5"/>
      <c r="E89" s="5">
        <v>8190</v>
      </c>
      <c r="F89" s="5">
        <v>2230</v>
      </c>
      <c r="G89" s="5">
        <v>2210</v>
      </c>
      <c r="H89" s="5">
        <v>1890</v>
      </c>
      <c r="I89" s="5" t="s">
        <v>13</v>
      </c>
      <c r="J89" s="5">
        <v>141.30000000000001</v>
      </c>
      <c r="K89" s="10">
        <v>5</v>
      </c>
      <c r="L89" s="11">
        <v>812.4</v>
      </c>
      <c r="M89" s="31">
        <v>10</v>
      </c>
      <c r="N89" s="5">
        <v>12.6</v>
      </c>
      <c r="O89" s="5">
        <v>260660</v>
      </c>
      <c r="P89" s="5" t="s">
        <v>48</v>
      </c>
      <c r="Q89" s="5"/>
      <c r="R89" s="5">
        <v>12</v>
      </c>
      <c r="S89" s="5">
        <v>910</v>
      </c>
      <c r="T89" s="5">
        <v>660</v>
      </c>
      <c r="U89" s="5">
        <v>860</v>
      </c>
      <c r="V89" s="5">
        <f t="shared" si="4"/>
        <v>19.799999999999997</v>
      </c>
      <c r="W89" s="5" t="s">
        <v>10</v>
      </c>
      <c r="X89" s="5">
        <v>63</v>
      </c>
      <c r="Y89" s="5">
        <v>2901.18</v>
      </c>
      <c r="Z89" s="5">
        <v>252.7</v>
      </c>
      <c r="AA89" s="5" t="s">
        <v>68</v>
      </c>
      <c r="AB89" s="5"/>
      <c r="AC89" s="5"/>
      <c r="AD89" s="5" t="s">
        <v>76</v>
      </c>
      <c r="AE89" s="5"/>
      <c r="AF89" s="5" t="s">
        <v>68</v>
      </c>
      <c r="AG89" s="5" t="s">
        <v>68</v>
      </c>
      <c r="AH89" s="12" t="s">
        <v>48</v>
      </c>
      <c r="AI89" s="12"/>
      <c r="AJ89" s="12"/>
      <c r="AK89" s="12"/>
      <c r="AL89" s="12"/>
      <c r="AM89" s="12"/>
      <c r="AN89" s="12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</row>
    <row r="90" spans="1:240" s="2" customFormat="1" ht="30" customHeight="1">
      <c r="A90" s="5">
        <v>88</v>
      </c>
      <c r="B90" s="5" t="s">
        <v>68</v>
      </c>
      <c r="C90" s="5"/>
      <c r="D90" s="5"/>
      <c r="E90" s="5">
        <v>8190</v>
      </c>
      <c r="F90" s="5">
        <v>2230</v>
      </c>
      <c r="G90" s="5">
        <v>2210</v>
      </c>
      <c r="H90" s="5">
        <v>2250</v>
      </c>
      <c r="I90" s="5" t="s">
        <v>13</v>
      </c>
      <c r="J90" s="5">
        <v>164.4</v>
      </c>
      <c r="K90" s="10">
        <v>5</v>
      </c>
      <c r="L90" s="11">
        <v>945.4</v>
      </c>
      <c r="M90" s="31">
        <v>10</v>
      </c>
      <c r="N90" s="5">
        <v>68.099999999999994</v>
      </c>
      <c r="O90" s="5">
        <v>251913</v>
      </c>
      <c r="P90" s="5" t="s">
        <v>48</v>
      </c>
      <c r="Q90" s="5"/>
      <c r="R90" s="5">
        <v>12</v>
      </c>
      <c r="S90" s="5">
        <v>910</v>
      </c>
      <c r="T90" s="5">
        <v>660</v>
      </c>
      <c r="U90" s="5">
        <v>860</v>
      </c>
      <c r="V90" s="5">
        <f t="shared" si="4"/>
        <v>19.799999999999997</v>
      </c>
      <c r="W90" s="5" t="s">
        <v>10</v>
      </c>
      <c r="X90" s="5">
        <v>63</v>
      </c>
      <c r="Y90" s="5">
        <v>3868.2</v>
      </c>
      <c r="Z90" s="5">
        <v>336.9</v>
      </c>
      <c r="AA90" s="5" t="s">
        <v>68</v>
      </c>
      <c r="AB90" s="5"/>
      <c r="AC90" s="5"/>
      <c r="AD90" s="5" t="s">
        <v>76</v>
      </c>
      <c r="AE90" s="5"/>
      <c r="AF90" s="5" t="s">
        <v>68</v>
      </c>
      <c r="AG90" s="5" t="s">
        <v>68</v>
      </c>
      <c r="AH90" s="12" t="s">
        <v>48</v>
      </c>
      <c r="AI90" s="12"/>
      <c r="AJ90" s="12"/>
      <c r="AK90" s="12"/>
      <c r="AL90" s="12"/>
      <c r="AM90" s="12"/>
      <c r="AN90" s="12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</row>
    <row r="91" spans="1:240" s="2" customFormat="1" ht="30" customHeight="1">
      <c r="A91" s="5">
        <v>89</v>
      </c>
      <c r="B91" s="5" t="s">
        <v>68</v>
      </c>
      <c r="C91" s="5"/>
      <c r="D91" s="5"/>
      <c r="E91" s="5">
        <v>9490</v>
      </c>
      <c r="F91" s="5">
        <v>2230</v>
      </c>
      <c r="G91" s="5">
        <v>2210</v>
      </c>
      <c r="H91" s="5">
        <v>2070</v>
      </c>
      <c r="I91" s="5" t="s">
        <v>13</v>
      </c>
      <c r="J91" s="5">
        <v>134.1</v>
      </c>
      <c r="K91" s="10">
        <v>5</v>
      </c>
      <c r="L91" s="11">
        <v>770.9</v>
      </c>
      <c r="M91" s="31">
        <v>10</v>
      </c>
      <c r="N91" s="5">
        <v>27.5</v>
      </c>
      <c r="O91" s="5">
        <v>314261</v>
      </c>
      <c r="P91" s="5" t="s">
        <v>48</v>
      </c>
      <c r="Q91" s="5"/>
      <c r="R91" s="5">
        <v>14</v>
      </c>
      <c r="S91" s="5">
        <v>910</v>
      </c>
      <c r="T91" s="5">
        <v>660</v>
      </c>
      <c r="U91" s="5">
        <v>860</v>
      </c>
      <c r="V91" s="5">
        <f t="shared" si="4"/>
        <v>23.099999999999998</v>
      </c>
      <c r="W91" s="5" t="s">
        <v>10</v>
      </c>
      <c r="X91" s="5">
        <v>63</v>
      </c>
      <c r="Y91" s="5">
        <v>2258.4499999999998</v>
      </c>
      <c r="Z91" s="5">
        <v>196.7</v>
      </c>
      <c r="AA91" s="5" t="s">
        <v>68</v>
      </c>
      <c r="AB91" s="5"/>
      <c r="AC91" s="5"/>
      <c r="AD91" s="5" t="s">
        <v>76</v>
      </c>
      <c r="AE91" s="5"/>
      <c r="AF91" s="5" t="s">
        <v>68</v>
      </c>
      <c r="AG91" s="5" t="s">
        <v>68</v>
      </c>
      <c r="AH91" s="12" t="s">
        <v>48</v>
      </c>
      <c r="AI91" s="12"/>
      <c r="AJ91" s="12"/>
      <c r="AK91" s="12"/>
      <c r="AL91" s="12"/>
      <c r="AM91" s="12"/>
      <c r="AN91" s="12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</row>
    <row r="92" spans="1:240" s="2" customFormat="1" ht="30" customHeight="1">
      <c r="A92" s="5">
        <v>90</v>
      </c>
      <c r="B92" s="5" t="s">
        <v>68</v>
      </c>
      <c r="C92" s="5"/>
      <c r="D92" s="5"/>
      <c r="E92" s="5">
        <v>9490</v>
      </c>
      <c r="F92" s="5">
        <v>2230</v>
      </c>
      <c r="G92" s="5">
        <v>2210</v>
      </c>
      <c r="H92" s="5">
        <v>2340</v>
      </c>
      <c r="I92" s="5" t="s">
        <v>13</v>
      </c>
      <c r="J92" s="5">
        <v>167.1</v>
      </c>
      <c r="K92" s="10">
        <v>5</v>
      </c>
      <c r="L92" s="11">
        <v>960.6</v>
      </c>
      <c r="M92" s="31">
        <v>10</v>
      </c>
      <c r="N92" s="5">
        <v>19.899999999999999</v>
      </c>
      <c r="O92" s="5">
        <v>304151</v>
      </c>
      <c r="P92" s="5" t="s">
        <v>48</v>
      </c>
      <c r="Q92" s="5"/>
      <c r="R92" s="5">
        <v>14</v>
      </c>
      <c r="S92" s="5">
        <v>910</v>
      </c>
      <c r="T92" s="5">
        <v>660</v>
      </c>
      <c r="U92" s="5">
        <v>860</v>
      </c>
      <c r="V92" s="5">
        <f t="shared" si="4"/>
        <v>23.099999999999998</v>
      </c>
      <c r="W92" s="5" t="s">
        <v>10</v>
      </c>
      <c r="X92" s="5">
        <v>63</v>
      </c>
      <c r="Y92" s="5">
        <v>3387.74</v>
      </c>
      <c r="Z92" s="5">
        <v>295.10000000000002</v>
      </c>
      <c r="AA92" s="5" t="s">
        <v>68</v>
      </c>
      <c r="AB92" s="5"/>
      <c r="AC92" s="5"/>
      <c r="AD92" s="5" t="s">
        <v>76</v>
      </c>
      <c r="AE92" s="5"/>
      <c r="AF92" s="5" t="s">
        <v>68</v>
      </c>
      <c r="AG92" s="5" t="s">
        <v>68</v>
      </c>
      <c r="AH92" s="12" t="s">
        <v>48</v>
      </c>
      <c r="AI92" s="12"/>
      <c r="AJ92" s="12"/>
      <c r="AK92" s="12"/>
      <c r="AL92" s="12"/>
      <c r="AM92" s="12"/>
      <c r="AN92" s="12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</row>
    <row r="93" spans="1:240" s="2" customFormat="1" ht="30" customHeight="1">
      <c r="A93" s="5">
        <v>91</v>
      </c>
      <c r="B93" s="5" t="s">
        <v>68</v>
      </c>
      <c r="C93" s="5"/>
      <c r="D93" s="5"/>
      <c r="E93" s="5">
        <v>9490</v>
      </c>
      <c r="F93" s="5">
        <v>2230</v>
      </c>
      <c r="G93" s="5">
        <v>2210</v>
      </c>
      <c r="H93" s="5">
        <v>2691</v>
      </c>
      <c r="I93" s="5" t="s">
        <v>13</v>
      </c>
      <c r="J93" s="5">
        <v>186.7</v>
      </c>
      <c r="K93" s="10">
        <v>5</v>
      </c>
      <c r="L93" s="11">
        <v>1073.4000000000001</v>
      </c>
      <c r="M93" s="31">
        <v>10</v>
      </c>
      <c r="N93" s="5">
        <v>14.5</v>
      </c>
      <c r="O93" s="5">
        <v>293961</v>
      </c>
      <c r="P93" s="5" t="s">
        <v>48</v>
      </c>
      <c r="Q93" s="5"/>
      <c r="R93" s="5">
        <v>14</v>
      </c>
      <c r="S93" s="5">
        <v>910</v>
      </c>
      <c r="T93" s="5">
        <v>660</v>
      </c>
      <c r="U93" s="5">
        <v>860</v>
      </c>
      <c r="V93" s="5">
        <f t="shared" si="4"/>
        <v>23.099999999999998</v>
      </c>
      <c r="W93" s="5" t="s">
        <v>10</v>
      </c>
      <c r="X93" s="5">
        <v>63</v>
      </c>
      <c r="Y93" s="5">
        <v>4517.03</v>
      </c>
      <c r="Z93" s="5">
        <v>393.4</v>
      </c>
      <c r="AA93" s="5" t="s">
        <v>68</v>
      </c>
      <c r="AB93" s="5"/>
      <c r="AC93" s="5"/>
      <c r="AD93" s="5" t="s">
        <v>76</v>
      </c>
      <c r="AE93" s="5"/>
      <c r="AF93" s="5" t="s">
        <v>68</v>
      </c>
      <c r="AG93" s="5" t="s">
        <v>68</v>
      </c>
      <c r="AH93" s="12" t="s">
        <v>48</v>
      </c>
      <c r="AI93" s="12"/>
      <c r="AJ93" s="12"/>
      <c r="AK93" s="12"/>
      <c r="AL93" s="12"/>
      <c r="AM93" s="12"/>
      <c r="AN93" s="12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</row>
    <row r="94" spans="1:240" s="2" customFormat="1" ht="30" customHeight="1">
      <c r="A94" s="5">
        <v>92</v>
      </c>
      <c r="B94" s="5" t="s">
        <v>68</v>
      </c>
      <c r="C94" s="5"/>
      <c r="D94" s="5"/>
      <c r="E94" s="5">
        <v>10800</v>
      </c>
      <c r="F94" s="5">
        <v>2230</v>
      </c>
      <c r="G94" s="5">
        <v>2210</v>
      </c>
      <c r="H94" s="5">
        <v>2430</v>
      </c>
      <c r="I94" s="5" t="s">
        <v>13</v>
      </c>
      <c r="J94" s="5">
        <v>154.80000000000001</v>
      </c>
      <c r="K94" s="10">
        <v>5</v>
      </c>
      <c r="L94" s="11">
        <v>890</v>
      </c>
      <c r="M94" s="31">
        <v>10</v>
      </c>
      <c r="N94" s="5">
        <v>40.4</v>
      </c>
      <c r="O94" s="5">
        <v>359182</v>
      </c>
      <c r="P94" s="5" t="s">
        <v>48</v>
      </c>
      <c r="Q94" s="5"/>
      <c r="R94" s="5">
        <v>16</v>
      </c>
      <c r="S94" s="5">
        <v>910</v>
      </c>
      <c r="T94" s="5">
        <v>660</v>
      </c>
      <c r="U94" s="5">
        <v>860</v>
      </c>
      <c r="V94" s="5">
        <f t="shared" si="4"/>
        <v>26.4</v>
      </c>
      <c r="W94" s="5" t="s">
        <v>10</v>
      </c>
      <c r="X94" s="5">
        <v>64</v>
      </c>
      <c r="Y94" s="5">
        <v>2582.86</v>
      </c>
      <c r="Z94" s="5">
        <v>225</v>
      </c>
      <c r="AA94" s="5" t="s">
        <v>68</v>
      </c>
      <c r="AB94" s="5"/>
      <c r="AC94" s="5"/>
      <c r="AD94" s="5" t="s">
        <v>76</v>
      </c>
      <c r="AE94" s="5"/>
      <c r="AF94" s="5" t="s">
        <v>68</v>
      </c>
      <c r="AG94" s="5" t="s">
        <v>68</v>
      </c>
      <c r="AH94" s="12" t="s">
        <v>48</v>
      </c>
      <c r="AI94" s="12"/>
      <c r="AJ94" s="12"/>
      <c r="AK94" s="12"/>
      <c r="AL94" s="12"/>
      <c r="AM94" s="12"/>
      <c r="AN94" s="12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</row>
    <row r="95" spans="1:240" s="2" customFormat="1" ht="30" customHeight="1">
      <c r="A95" s="5">
        <v>93</v>
      </c>
      <c r="B95" s="5" t="s">
        <v>68</v>
      </c>
      <c r="C95" s="5"/>
      <c r="D95" s="5"/>
      <c r="E95" s="5">
        <v>10800</v>
      </c>
      <c r="F95" s="5">
        <v>2230</v>
      </c>
      <c r="G95" s="5">
        <v>2210</v>
      </c>
      <c r="H95" s="5">
        <v>2682</v>
      </c>
      <c r="I95" s="5" t="s">
        <v>13</v>
      </c>
      <c r="J95" s="5">
        <v>192.7</v>
      </c>
      <c r="K95" s="10">
        <v>5</v>
      </c>
      <c r="L95" s="11">
        <v>1108</v>
      </c>
      <c r="M95" s="31">
        <v>10</v>
      </c>
      <c r="N95" s="5">
        <v>29.2</v>
      </c>
      <c r="O95" s="5">
        <v>347642</v>
      </c>
      <c r="P95" s="5" t="s">
        <v>48</v>
      </c>
      <c r="Q95" s="5"/>
      <c r="R95" s="5">
        <v>16</v>
      </c>
      <c r="S95" s="5">
        <v>910</v>
      </c>
      <c r="T95" s="5">
        <v>660</v>
      </c>
      <c r="U95" s="5">
        <v>860</v>
      </c>
      <c r="V95" s="5">
        <f t="shared" si="4"/>
        <v>26.4</v>
      </c>
      <c r="W95" s="5" t="s">
        <v>10</v>
      </c>
      <c r="X95" s="5">
        <v>64</v>
      </c>
      <c r="Y95" s="5">
        <v>3874.43</v>
      </c>
      <c r="Z95" s="5">
        <v>337.5</v>
      </c>
      <c r="AA95" s="5" t="s">
        <v>68</v>
      </c>
      <c r="AB95" s="5"/>
      <c r="AC95" s="5"/>
      <c r="AD95" s="5" t="s">
        <v>76</v>
      </c>
      <c r="AE95" s="5"/>
      <c r="AF95" s="5" t="s">
        <v>68</v>
      </c>
      <c r="AG95" s="5" t="s">
        <v>68</v>
      </c>
      <c r="AH95" s="12" t="s">
        <v>48</v>
      </c>
      <c r="AI95" s="12"/>
      <c r="AJ95" s="12"/>
      <c r="AK95" s="12"/>
      <c r="AL95" s="12"/>
      <c r="AM95" s="12"/>
      <c r="AN95" s="12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</row>
    <row r="96" spans="1:240" s="2" customFormat="1" ht="30" customHeight="1">
      <c r="A96" s="5">
        <v>94</v>
      </c>
      <c r="B96" s="5" t="s">
        <v>68</v>
      </c>
      <c r="C96" s="5"/>
      <c r="D96" s="5"/>
      <c r="E96" s="5">
        <v>10800</v>
      </c>
      <c r="F96" s="5">
        <v>2230</v>
      </c>
      <c r="G96" s="5">
        <v>2210</v>
      </c>
      <c r="H96" s="5">
        <v>3042</v>
      </c>
      <c r="I96" s="5" t="s">
        <v>13</v>
      </c>
      <c r="J96" s="5">
        <v>215.3</v>
      </c>
      <c r="K96" s="10">
        <v>5</v>
      </c>
      <c r="L96" s="11">
        <v>1237.8</v>
      </c>
      <c r="M96" s="31">
        <v>10</v>
      </c>
      <c r="N96" s="5">
        <v>21.4</v>
      </c>
      <c r="O96" s="5">
        <v>336009</v>
      </c>
      <c r="P96" s="5" t="s">
        <v>48</v>
      </c>
      <c r="Q96" s="5"/>
      <c r="R96" s="5">
        <v>16</v>
      </c>
      <c r="S96" s="5">
        <v>910</v>
      </c>
      <c r="T96" s="5">
        <v>660</v>
      </c>
      <c r="U96" s="5">
        <v>860</v>
      </c>
      <c r="V96" s="5">
        <f t="shared" si="4"/>
        <v>26.4</v>
      </c>
      <c r="W96" s="5" t="s">
        <v>10</v>
      </c>
      <c r="X96" s="5">
        <v>64</v>
      </c>
      <c r="Y96" s="5">
        <v>5165.8599999999997</v>
      </c>
      <c r="Z96" s="5">
        <v>450</v>
      </c>
      <c r="AA96" s="5" t="s">
        <v>68</v>
      </c>
      <c r="AB96" s="5"/>
      <c r="AC96" s="5"/>
      <c r="AD96" s="5" t="s">
        <v>76</v>
      </c>
      <c r="AE96" s="5"/>
      <c r="AF96" s="5" t="s">
        <v>68</v>
      </c>
      <c r="AG96" s="5" t="s">
        <v>68</v>
      </c>
      <c r="AH96" s="12" t="s">
        <v>48</v>
      </c>
      <c r="AI96" s="12"/>
      <c r="AJ96" s="12"/>
      <c r="AK96" s="12"/>
      <c r="AL96" s="12"/>
      <c r="AM96" s="12"/>
      <c r="AN96" s="12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</row>
    <row r="97" spans="1:240" s="2" customFormat="1" ht="30" customHeight="1">
      <c r="A97" s="5">
        <v>95</v>
      </c>
      <c r="B97" s="5" t="s">
        <v>68</v>
      </c>
      <c r="C97" s="5"/>
      <c r="D97" s="5"/>
      <c r="E97" s="5">
        <v>2940</v>
      </c>
      <c r="F97" s="5">
        <v>2230</v>
      </c>
      <c r="G97" s="5">
        <v>2210</v>
      </c>
      <c r="H97" s="5">
        <v>690</v>
      </c>
      <c r="I97" s="5" t="s">
        <v>13</v>
      </c>
      <c r="J97" s="5">
        <v>34.700000000000003</v>
      </c>
      <c r="K97" s="10">
        <v>5</v>
      </c>
      <c r="L97" s="11">
        <v>199.4</v>
      </c>
      <c r="M97" s="31">
        <v>10</v>
      </c>
      <c r="N97" s="5">
        <v>15.1</v>
      </c>
      <c r="O97" s="5">
        <v>87993</v>
      </c>
      <c r="P97" s="5" t="s">
        <v>48</v>
      </c>
      <c r="Q97" s="5"/>
      <c r="R97" s="5">
        <v>4</v>
      </c>
      <c r="S97" s="5">
        <v>800</v>
      </c>
      <c r="T97" s="5">
        <v>660</v>
      </c>
      <c r="U97" s="5">
        <v>880</v>
      </c>
      <c r="V97" s="5">
        <f t="shared" ref="V97:V117" si="5">2*R97</f>
        <v>8</v>
      </c>
      <c r="W97" s="5" t="s">
        <v>10</v>
      </c>
      <c r="X97" s="5">
        <v>56</v>
      </c>
      <c r="Y97" s="5">
        <v>597.5</v>
      </c>
      <c r="Z97" s="5">
        <v>97.6</v>
      </c>
      <c r="AA97" s="5" t="s">
        <v>68</v>
      </c>
      <c r="AB97" s="5"/>
      <c r="AC97" s="5"/>
      <c r="AD97" s="5" t="s">
        <v>76</v>
      </c>
      <c r="AE97" s="5"/>
      <c r="AF97" s="5" t="s">
        <v>68</v>
      </c>
      <c r="AG97" s="5" t="s">
        <v>68</v>
      </c>
      <c r="AH97" s="12" t="s">
        <v>48</v>
      </c>
      <c r="AI97" s="12"/>
      <c r="AJ97" s="12"/>
      <c r="AK97" s="12"/>
      <c r="AL97" s="12"/>
      <c r="AM97" s="12"/>
      <c r="AN97" s="12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</row>
    <row r="98" spans="1:240" s="2" customFormat="1" ht="30" customHeight="1">
      <c r="A98" s="5">
        <v>96</v>
      </c>
      <c r="B98" s="5" t="s">
        <v>68</v>
      </c>
      <c r="C98" s="5"/>
      <c r="D98" s="5"/>
      <c r="E98" s="5">
        <v>2940</v>
      </c>
      <c r="F98" s="5">
        <v>2230</v>
      </c>
      <c r="G98" s="5">
        <v>2210</v>
      </c>
      <c r="H98" s="5">
        <v>797</v>
      </c>
      <c r="I98" s="5" t="s">
        <v>13</v>
      </c>
      <c r="J98" s="5">
        <v>43.8</v>
      </c>
      <c r="K98" s="10">
        <v>5</v>
      </c>
      <c r="L98" s="11">
        <v>251.9</v>
      </c>
      <c r="M98" s="31">
        <v>10</v>
      </c>
      <c r="N98" s="5">
        <v>13.4</v>
      </c>
      <c r="O98" s="5">
        <v>84884</v>
      </c>
      <c r="P98" s="5" t="s">
        <v>48</v>
      </c>
      <c r="Q98" s="5"/>
      <c r="R98" s="5">
        <v>4</v>
      </c>
      <c r="S98" s="5">
        <v>800</v>
      </c>
      <c r="T98" s="5">
        <v>660</v>
      </c>
      <c r="U98" s="5">
        <v>880</v>
      </c>
      <c r="V98" s="5">
        <f t="shared" si="5"/>
        <v>8</v>
      </c>
      <c r="W98" s="5" t="s">
        <v>10</v>
      </c>
      <c r="X98" s="5">
        <v>56</v>
      </c>
      <c r="Y98" s="5">
        <v>895.5</v>
      </c>
      <c r="Z98" s="5">
        <v>146.6</v>
      </c>
      <c r="AA98" s="5" t="s">
        <v>68</v>
      </c>
      <c r="AB98" s="5"/>
      <c r="AC98" s="5"/>
      <c r="AD98" s="5" t="s">
        <v>76</v>
      </c>
      <c r="AE98" s="5"/>
      <c r="AF98" s="5" t="s">
        <v>68</v>
      </c>
      <c r="AG98" s="5" t="s">
        <v>68</v>
      </c>
      <c r="AH98" s="12" t="s">
        <v>48</v>
      </c>
      <c r="AI98" s="12"/>
      <c r="AJ98" s="12"/>
      <c r="AK98" s="12"/>
      <c r="AL98" s="12"/>
      <c r="AM98" s="12"/>
      <c r="AN98" s="12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</row>
    <row r="99" spans="1:240" s="2" customFormat="1" ht="30" customHeight="1">
      <c r="A99" s="5">
        <v>97</v>
      </c>
      <c r="B99" s="5" t="s">
        <v>68</v>
      </c>
      <c r="C99" s="5"/>
      <c r="D99" s="5"/>
      <c r="E99" s="5">
        <v>2940</v>
      </c>
      <c r="F99" s="5">
        <v>2230</v>
      </c>
      <c r="G99" s="5">
        <v>2210</v>
      </c>
      <c r="H99" s="5">
        <v>913</v>
      </c>
      <c r="I99" s="5" t="s">
        <v>13</v>
      </c>
      <c r="J99" s="5">
        <v>49.5</v>
      </c>
      <c r="K99" s="10">
        <v>5</v>
      </c>
      <c r="L99" s="11">
        <v>284.60000000000002</v>
      </c>
      <c r="M99" s="31">
        <v>10</v>
      </c>
      <c r="N99" s="5">
        <v>11.1</v>
      </c>
      <c r="O99" s="5">
        <v>81868</v>
      </c>
      <c r="P99" s="5" t="s">
        <v>48</v>
      </c>
      <c r="Q99" s="5"/>
      <c r="R99" s="5">
        <v>4</v>
      </c>
      <c r="S99" s="5">
        <v>800</v>
      </c>
      <c r="T99" s="5">
        <v>660</v>
      </c>
      <c r="U99" s="5">
        <v>880</v>
      </c>
      <c r="V99" s="5">
        <f t="shared" si="5"/>
        <v>8</v>
      </c>
      <c r="W99" s="5" t="s">
        <v>10</v>
      </c>
      <c r="X99" s="5">
        <v>56</v>
      </c>
      <c r="Y99" s="5">
        <v>1194.0999999999999</v>
      </c>
      <c r="Z99" s="5">
        <v>195.4</v>
      </c>
      <c r="AA99" s="5" t="s">
        <v>68</v>
      </c>
      <c r="AB99" s="5"/>
      <c r="AC99" s="5"/>
      <c r="AD99" s="5" t="s">
        <v>76</v>
      </c>
      <c r="AE99" s="5"/>
      <c r="AF99" s="5" t="s">
        <v>68</v>
      </c>
      <c r="AG99" s="5" t="s">
        <v>68</v>
      </c>
      <c r="AH99" s="12" t="s">
        <v>48</v>
      </c>
      <c r="AI99" s="12"/>
      <c r="AJ99" s="12"/>
      <c r="AK99" s="12"/>
      <c r="AL99" s="12"/>
      <c r="AM99" s="12"/>
      <c r="AN99" s="12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</row>
    <row r="100" spans="1:240" s="2" customFormat="1" ht="30" customHeight="1">
      <c r="A100" s="5">
        <v>98</v>
      </c>
      <c r="B100" s="5" t="s">
        <v>68</v>
      </c>
      <c r="C100" s="5"/>
      <c r="D100" s="5"/>
      <c r="E100" s="5">
        <v>4250</v>
      </c>
      <c r="F100" s="5">
        <v>2230</v>
      </c>
      <c r="G100" s="5">
        <v>2210</v>
      </c>
      <c r="H100" s="5">
        <v>903</v>
      </c>
      <c r="I100" s="5" t="s">
        <v>13</v>
      </c>
      <c r="J100" s="5">
        <v>54</v>
      </c>
      <c r="K100" s="10">
        <v>5</v>
      </c>
      <c r="L100" s="11">
        <v>310.3</v>
      </c>
      <c r="M100" s="31">
        <v>10</v>
      </c>
      <c r="N100" s="5">
        <v>48</v>
      </c>
      <c r="O100" s="5">
        <v>132092</v>
      </c>
      <c r="P100" s="5" t="s">
        <v>48</v>
      </c>
      <c r="Q100" s="5"/>
      <c r="R100" s="5">
        <v>6</v>
      </c>
      <c r="S100" s="5">
        <v>800</v>
      </c>
      <c r="T100" s="5">
        <v>660</v>
      </c>
      <c r="U100" s="5">
        <v>880</v>
      </c>
      <c r="V100" s="5">
        <f t="shared" si="5"/>
        <v>12</v>
      </c>
      <c r="W100" s="5" t="s">
        <v>10</v>
      </c>
      <c r="X100" s="5">
        <v>58</v>
      </c>
      <c r="Y100" s="5">
        <v>901.3</v>
      </c>
      <c r="Z100" s="5">
        <v>147.5</v>
      </c>
      <c r="AA100" s="5" t="s">
        <v>68</v>
      </c>
      <c r="AB100" s="5"/>
      <c r="AC100" s="5"/>
      <c r="AD100" s="5" t="s">
        <v>76</v>
      </c>
      <c r="AE100" s="5"/>
      <c r="AF100" s="5" t="s">
        <v>68</v>
      </c>
      <c r="AG100" s="5" t="s">
        <v>68</v>
      </c>
      <c r="AH100" s="12" t="s">
        <v>48</v>
      </c>
      <c r="AI100" s="12"/>
      <c r="AJ100" s="12"/>
      <c r="AK100" s="12"/>
      <c r="AL100" s="12"/>
      <c r="AM100" s="12"/>
      <c r="AN100" s="12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</row>
    <row r="101" spans="1:240" s="2" customFormat="1" ht="30" customHeight="1">
      <c r="A101" s="5">
        <v>99</v>
      </c>
      <c r="B101" s="5" t="s">
        <v>68</v>
      </c>
      <c r="C101" s="5"/>
      <c r="D101" s="5"/>
      <c r="E101" s="5">
        <v>4250</v>
      </c>
      <c r="F101" s="5">
        <v>2230</v>
      </c>
      <c r="G101" s="5">
        <v>2210</v>
      </c>
      <c r="H101" s="5">
        <v>1115</v>
      </c>
      <c r="I101" s="5" t="s">
        <v>13</v>
      </c>
      <c r="J101" s="5">
        <v>68</v>
      </c>
      <c r="K101" s="10">
        <v>5</v>
      </c>
      <c r="L101" s="11">
        <v>390.8</v>
      </c>
      <c r="M101" s="31">
        <v>10</v>
      </c>
      <c r="N101" s="5">
        <v>42.9</v>
      </c>
      <c r="O101" s="5">
        <v>127476</v>
      </c>
      <c r="P101" s="5" t="s">
        <v>48</v>
      </c>
      <c r="Q101" s="5"/>
      <c r="R101" s="5">
        <v>6</v>
      </c>
      <c r="S101" s="5">
        <v>800</v>
      </c>
      <c r="T101" s="5">
        <v>660</v>
      </c>
      <c r="U101" s="5">
        <v>880</v>
      </c>
      <c r="V101" s="5">
        <f t="shared" si="5"/>
        <v>12</v>
      </c>
      <c r="W101" s="5" t="s">
        <v>10</v>
      </c>
      <c r="X101" s="5">
        <v>58</v>
      </c>
      <c r="Y101" s="5">
        <v>1352.1</v>
      </c>
      <c r="Z101" s="5">
        <v>221.1</v>
      </c>
      <c r="AA101" s="5" t="s">
        <v>68</v>
      </c>
      <c r="AB101" s="5"/>
      <c r="AC101" s="5"/>
      <c r="AD101" s="5" t="s">
        <v>76</v>
      </c>
      <c r="AE101" s="5"/>
      <c r="AF101" s="5" t="s">
        <v>68</v>
      </c>
      <c r="AG101" s="5" t="s">
        <v>68</v>
      </c>
      <c r="AH101" s="12" t="s">
        <v>48</v>
      </c>
      <c r="AI101" s="12"/>
      <c r="AJ101" s="12"/>
      <c r="AK101" s="12"/>
      <c r="AL101" s="12"/>
      <c r="AM101" s="12"/>
      <c r="AN101" s="12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</row>
    <row r="102" spans="1:240" s="2" customFormat="1" ht="30" customHeight="1">
      <c r="A102" s="5">
        <v>100</v>
      </c>
      <c r="B102" s="5" t="s">
        <v>68</v>
      </c>
      <c r="C102" s="5"/>
      <c r="D102" s="5"/>
      <c r="E102" s="5">
        <v>4250</v>
      </c>
      <c r="F102" s="5">
        <v>2230</v>
      </c>
      <c r="G102" s="5">
        <v>2210</v>
      </c>
      <c r="H102" s="5">
        <v>1328</v>
      </c>
      <c r="I102" s="5" t="s">
        <v>13</v>
      </c>
      <c r="J102" s="5">
        <v>76.5</v>
      </c>
      <c r="K102" s="10">
        <v>5</v>
      </c>
      <c r="L102" s="11">
        <v>440</v>
      </c>
      <c r="M102" s="31">
        <v>10</v>
      </c>
      <c r="N102" s="5">
        <v>35.200000000000003</v>
      </c>
      <c r="O102" s="5">
        <v>122995</v>
      </c>
      <c r="P102" s="5" t="s">
        <v>48</v>
      </c>
      <c r="Q102" s="5"/>
      <c r="R102" s="5">
        <v>6</v>
      </c>
      <c r="S102" s="5">
        <v>800</v>
      </c>
      <c r="T102" s="5">
        <v>660</v>
      </c>
      <c r="U102" s="5">
        <v>880</v>
      </c>
      <c r="V102" s="5">
        <f t="shared" si="5"/>
        <v>12</v>
      </c>
      <c r="W102" s="5" t="s">
        <v>10</v>
      </c>
      <c r="X102" s="5">
        <v>58</v>
      </c>
      <c r="Y102" s="5">
        <v>1802.8</v>
      </c>
      <c r="Z102" s="5">
        <v>294.89999999999998</v>
      </c>
      <c r="AA102" s="5" t="s">
        <v>68</v>
      </c>
      <c r="AB102" s="5"/>
      <c r="AC102" s="5"/>
      <c r="AD102" s="5" t="s">
        <v>76</v>
      </c>
      <c r="AE102" s="5"/>
      <c r="AF102" s="5" t="s">
        <v>68</v>
      </c>
      <c r="AG102" s="5" t="s">
        <v>68</v>
      </c>
      <c r="AH102" s="12" t="s">
        <v>48</v>
      </c>
      <c r="AI102" s="12"/>
      <c r="AJ102" s="12"/>
      <c r="AK102" s="12"/>
      <c r="AL102" s="12"/>
      <c r="AM102" s="12"/>
      <c r="AN102" s="12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</row>
    <row r="103" spans="1:240" s="2" customFormat="1" ht="30" customHeight="1">
      <c r="A103" s="5">
        <v>101</v>
      </c>
      <c r="B103" s="5" t="s">
        <v>68</v>
      </c>
      <c r="C103" s="5"/>
      <c r="D103" s="5"/>
      <c r="E103" s="5">
        <v>5560</v>
      </c>
      <c r="F103" s="5">
        <v>2230</v>
      </c>
      <c r="G103" s="5">
        <v>2210</v>
      </c>
      <c r="H103" s="5">
        <v>1359</v>
      </c>
      <c r="I103" s="5" t="s">
        <v>13</v>
      </c>
      <c r="J103" s="5">
        <v>71.099999999999994</v>
      </c>
      <c r="K103" s="10">
        <v>5</v>
      </c>
      <c r="L103" s="11">
        <v>408.7</v>
      </c>
      <c r="M103" s="31">
        <v>10</v>
      </c>
      <c r="N103" s="5">
        <v>27.9</v>
      </c>
      <c r="O103" s="5">
        <v>176190</v>
      </c>
      <c r="P103" s="5" t="s">
        <v>48</v>
      </c>
      <c r="Q103" s="5"/>
      <c r="R103" s="5">
        <v>8</v>
      </c>
      <c r="S103" s="5">
        <v>800</v>
      </c>
      <c r="T103" s="5">
        <v>660</v>
      </c>
      <c r="U103" s="5">
        <v>880</v>
      </c>
      <c r="V103" s="5">
        <f t="shared" si="5"/>
        <v>16</v>
      </c>
      <c r="W103" s="5" t="s">
        <v>10</v>
      </c>
      <c r="X103" s="5">
        <v>59</v>
      </c>
      <c r="Y103" s="5">
        <v>1205.7</v>
      </c>
      <c r="Z103" s="5">
        <v>197.1</v>
      </c>
      <c r="AA103" s="5" t="s">
        <v>68</v>
      </c>
      <c r="AB103" s="5"/>
      <c r="AC103" s="5"/>
      <c r="AD103" s="5" t="s">
        <v>76</v>
      </c>
      <c r="AE103" s="5"/>
      <c r="AF103" s="5" t="s">
        <v>68</v>
      </c>
      <c r="AG103" s="5" t="s">
        <v>68</v>
      </c>
      <c r="AH103" s="12" t="s">
        <v>48</v>
      </c>
      <c r="AI103" s="12"/>
      <c r="AJ103" s="12"/>
      <c r="AK103" s="12"/>
      <c r="AL103" s="12"/>
      <c r="AM103" s="12"/>
      <c r="AN103" s="12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</row>
    <row r="104" spans="1:240" s="2" customFormat="1" ht="30" customHeight="1">
      <c r="A104" s="5">
        <v>102</v>
      </c>
      <c r="B104" s="5" t="s">
        <v>68</v>
      </c>
      <c r="C104" s="5"/>
      <c r="D104" s="5"/>
      <c r="E104" s="5">
        <v>5560</v>
      </c>
      <c r="F104" s="5">
        <v>2230</v>
      </c>
      <c r="G104" s="5">
        <v>2210</v>
      </c>
      <c r="H104" s="5">
        <v>1572</v>
      </c>
      <c r="I104" s="5" t="s">
        <v>13</v>
      </c>
      <c r="J104" s="5">
        <v>90.9</v>
      </c>
      <c r="K104" s="10">
        <v>5</v>
      </c>
      <c r="L104" s="11">
        <v>522.79999999999995</v>
      </c>
      <c r="M104" s="31">
        <v>10</v>
      </c>
      <c r="N104" s="5">
        <v>47</v>
      </c>
      <c r="O104" s="5">
        <v>170067</v>
      </c>
      <c r="P104" s="5" t="s">
        <v>48</v>
      </c>
      <c r="Q104" s="5"/>
      <c r="R104" s="5">
        <v>8</v>
      </c>
      <c r="S104" s="5">
        <v>800</v>
      </c>
      <c r="T104" s="5">
        <v>660</v>
      </c>
      <c r="U104" s="5">
        <v>880</v>
      </c>
      <c r="V104" s="5">
        <f t="shared" si="5"/>
        <v>16</v>
      </c>
      <c r="W104" s="5" t="s">
        <v>10</v>
      </c>
      <c r="X104" s="5">
        <v>59</v>
      </c>
      <c r="Y104" s="5">
        <v>1808.5</v>
      </c>
      <c r="Z104" s="5">
        <v>295.8</v>
      </c>
      <c r="AA104" s="5" t="s">
        <v>68</v>
      </c>
      <c r="AB104" s="5"/>
      <c r="AC104" s="5"/>
      <c r="AD104" s="5" t="s">
        <v>76</v>
      </c>
      <c r="AE104" s="5"/>
      <c r="AF104" s="5" t="s">
        <v>68</v>
      </c>
      <c r="AG104" s="5" t="s">
        <v>68</v>
      </c>
      <c r="AH104" s="12" t="s">
        <v>48</v>
      </c>
      <c r="AI104" s="12"/>
      <c r="AJ104" s="12"/>
      <c r="AK104" s="12"/>
      <c r="AL104" s="12"/>
      <c r="AM104" s="12"/>
      <c r="AN104" s="12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</row>
    <row r="105" spans="1:240" s="2" customFormat="1" ht="30" customHeight="1">
      <c r="A105" s="5">
        <v>103</v>
      </c>
      <c r="B105" s="5" t="s">
        <v>68</v>
      </c>
      <c r="C105" s="5"/>
      <c r="D105" s="5"/>
      <c r="E105" s="5">
        <v>6870</v>
      </c>
      <c r="F105" s="5">
        <v>2230</v>
      </c>
      <c r="G105" s="5">
        <v>2210</v>
      </c>
      <c r="H105" s="5">
        <v>1805</v>
      </c>
      <c r="I105" s="5" t="s">
        <v>13</v>
      </c>
      <c r="J105" s="5">
        <v>102.1</v>
      </c>
      <c r="K105" s="10">
        <v>5</v>
      </c>
      <c r="L105" s="11">
        <v>587.4</v>
      </c>
      <c r="M105" s="31">
        <v>10</v>
      </c>
      <c r="N105" s="5">
        <v>34.700000000000003</v>
      </c>
      <c r="O105" s="5">
        <v>164119</v>
      </c>
      <c r="P105" s="5" t="s">
        <v>48</v>
      </c>
      <c r="Q105" s="5"/>
      <c r="R105" s="5">
        <v>8</v>
      </c>
      <c r="S105" s="5">
        <v>800</v>
      </c>
      <c r="T105" s="5">
        <v>660</v>
      </c>
      <c r="U105" s="5">
        <v>880</v>
      </c>
      <c r="V105" s="5">
        <f t="shared" si="5"/>
        <v>16</v>
      </c>
      <c r="W105" s="5" t="s">
        <v>10</v>
      </c>
      <c r="X105" s="5">
        <v>59</v>
      </c>
      <c r="Y105" s="5">
        <v>2411.4</v>
      </c>
      <c r="Z105" s="5">
        <v>394.4</v>
      </c>
      <c r="AA105" s="5" t="s">
        <v>68</v>
      </c>
      <c r="AB105" s="5"/>
      <c r="AC105" s="5"/>
      <c r="AD105" s="5" t="s">
        <v>76</v>
      </c>
      <c r="AE105" s="5"/>
      <c r="AF105" s="5" t="s">
        <v>68</v>
      </c>
      <c r="AG105" s="5" t="s">
        <v>68</v>
      </c>
      <c r="AH105" s="12" t="s">
        <v>48</v>
      </c>
      <c r="AI105" s="12"/>
      <c r="AJ105" s="12"/>
      <c r="AK105" s="12"/>
      <c r="AL105" s="12"/>
      <c r="AM105" s="12"/>
      <c r="AN105" s="12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</row>
    <row r="106" spans="1:240" s="2" customFormat="1" ht="30" customHeight="1">
      <c r="A106" s="5">
        <v>104</v>
      </c>
      <c r="B106" s="5" t="s">
        <v>68</v>
      </c>
      <c r="C106" s="5"/>
      <c r="D106" s="5"/>
      <c r="E106" s="5">
        <v>6870</v>
      </c>
      <c r="F106" s="5">
        <v>2230</v>
      </c>
      <c r="G106" s="5">
        <v>2210</v>
      </c>
      <c r="H106" s="5">
        <v>1699</v>
      </c>
      <c r="I106" s="5" t="s">
        <v>13</v>
      </c>
      <c r="J106" s="5">
        <v>89.3</v>
      </c>
      <c r="K106" s="10">
        <v>5</v>
      </c>
      <c r="L106" s="11">
        <v>513.29999999999995</v>
      </c>
      <c r="M106" s="31">
        <v>10</v>
      </c>
      <c r="N106" s="5">
        <v>32.1</v>
      </c>
      <c r="O106" s="5">
        <v>220287</v>
      </c>
      <c r="P106" s="5" t="s">
        <v>48</v>
      </c>
      <c r="Q106" s="5"/>
      <c r="R106" s="5">
        <v>10</v>
      </c>
      <c r="S106" s="5">
        <v>800</v>
      </c>
      <c r="T106" s="5">
        <v>660</v>
      </c>
      <c r="U106" s="5">
        <v>880</v>
      </c>
      <c r="V106" s="5">
        <f t="shared" si="5"/>
        <v>20</v>
      </c>
      <c r="W106" s="5" t="s">
        <v>10</v>
      </c>
      <c r="X106" s="5">
        <v>60</v>
      </c>
      <c r="Y106" s="5">
        <v>1510</v>
      </c>
      <c r="Z106" s="5">
        <v>247</v>
      </c>
      <c r="AA106" s="5" t="s">
        <v>68</v>
      </c>
      <c r="AB106" s="5"/>
      <c r="AC106" s="5"/>
      <c r="AD106" s="5" t="s">
        <v>76</v>
      </c>
      <c r="AE106" s="5"/>
      <c r="AF106" s="5" t="s">
        <v>68</v>
      </c>
      <c r="AG106" s="5" t="s">
        <v>68</v>
      </c>
      <c r="AH106" s="12" t="s">
        <v>48</v>
      </c>
      <c r="AI106" s="12"/>
      <c r="AJ106" s="12"/>
      <c r="AK106" s="12"/>
      <c r="AL106" s="12"/>
      <c r="AM106" s="12"/>
      <c r="AN106" s="12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</row>
    <row r="107" spans="1:240" s="2" customFormat="1" ht="30" customHeight="1">
      <c r="A107" s="5">
        <v>105</v>
      </c>
      <c r="B107" s="5" t="s">
        <v>68</v>
      </c>
      <c r="C107" s="5"/>
      <c r="D107" s="5"/>
      <c r="E107" s="5">
        <v>6870</v>
      </c>
      <c r="F107" s="5">
        <v>2230</v>
      </c>
      <c r="G107" s="5">
        <v>2210</v>
      </c>
      <c r="H107" s="5">
        <v>1965</v>
      </c>
      <c r="I107" s="5" t="s">
        <v>13</v>
      </c>
      <c r="J107" s="5">
        <v>113.3</v>
      </c>
      <c r="K107" s="10">
        <v>5</v>
      </c>
      <c r="L107" s="11">
        <v>651.5</v>
      </c>
      <c r="M107" s="31">
        <v>10</v>
      </c>
      <c r="N107" s="5">
        <v>38.700000000000003</v>
      </c>
      <c r="O107" s="5">
        <v>212658</v>
      </c>
      <c r="P107" s="5" t="s">
        <v>48</v>
      </c>
      <c r="Q107" s="5"/>
      <c r="R107" s="5">
        <v>10</v>
      </c>
      <c r="S107" s="5">
        <v>800</v>
      </c>
      <c r="T107" s="5">
        <v>660</v>
      </c>
      <c r="U107" s="5">
        <v>880</v>
      </c>
      <c r="V107" s="5">
        <f t="shared" si="5"/>
        <v>20</v>
      </c>
      <c r="W107" s="5" t="s">
        <v>10</v>
      </c>
      <c r="X107" s="5">
        <v>60</v>
      </c>
      <c r="Y107" s="5">
        <v>2265</v>
      </c>
      <c r="Z107" s="5">
        <v>370.5</v>
      </c>
      <c r="AA107" s="5" t="s">
        <v>68</v>
      </c>
      <c r="AB107" s="5"/>
      <c r="AC107" s="5"/>
      <c r="AD107" s="5" t="s">
        <v>76</v>
      </c>
      <c r="AE107" s="5"/>
      <c r="AF107" s="5" t="s">
        <v>68</v>
      </c>
      <c r="AG107" s="5" t="s">
        <v>68</v>
      </c>
      <c r="AH107" s="12" t="s">
        <v>48</v>
      </c>
      <c r="AI107" s="12"/>
      <c r="AJ107" s="12"/>
      <c r="AK107" s="12"/>
      <c r="AL107" s="12"/>
      <c r="AM107" s="12"/>
      <c r="AN107" s="12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</row>
    <row r="108" spans="1:240" s="2" customFormat="1" ht="30" customHeight="1">
      <c r="A108" s="5">
        <v>106</v>
      </c>
      <c r="B108" s="5" t="s">
        <v>68</v>
      </c>
      <c r="C108" s="5"/>
      <c r="D108" s="5"/>
      <c r="E108" s="5">
        <v>6870</v>
      </c>
      <c r="F108" s="5">
        <v>2230</v>
      </c>
      <c r="G108" s="5">
        <v>2210</v>
      </c>
      <c r="H108" s="5">
        <v>2257</v>
      </c>
      <c r="I108" s="5" t="s">
        <v>13</v>
      </c>
      <c r="J108" s="5">
        <v>127.3</v>
      </c>
      <c r="K108" s="10">
        <v>5</v>
      </c>
      <c r="L108" s="11">
        <v>732.2</v>
      </c>
      <c r="M108" s="31">
        <v>10</v>
      </c>
      <c r="N108" s="5">
        <v>28.7</v>
      </c>
      <c r="O108" s="5">
        <v>205244</v>
      </c>
      <c r="P108" s="5" t="s">
        <v>48</v>
      </c>
      <c r="Q108" s="5"/>
      <c r="R108" s="5">
        <v>10</v>
      </c>
      <c r="S108" s="5">
        <v>800</v>
      </c>
      <c r="T108" s="5">
        <v>660</v>
      </c>
      <c r="U108" s="5">
        <v>880</v>
      </c>
      <c r="V108" s="5">
        <f t="shared" si="5"/>
        <v>20</v>
      </c>
      <c r="W108" s="5" t="s">
        <v>10</v>
      </c>
      <c r="X108" s="5">
        <v>60</v>
      </c>
      <c r="Y108" s="5">
        <v>3020</v>
      </c>
      <c r="Z108" s="5">
        <v>494</v>
      </c>
      <c r="AA108" s="5" t="s">
        <v>68</v>
      </c>
      <c r="AB108" s="5"/>
      <c r="AC108" s="5"/>
      <c r="AD108" s="5" t="s">
        <v>76</v>
      </c>
      <c r="AE108" s="5"/>
      <c r="AF108" s="5" t="s">
        <v>68</v>
      </c>
      <c r="AG108" s="5" t="s">
        <v>68</v>
      </c>
      <c r="AH108" s="12" t="s">
        <v>48</v>
      </c>
      <c r="AI108" s="12"/>
      <c r="AJ108" s="12"/>
      <c r="AK108" s="12"/>
      <c r="AL108" s="12"/>
      <c r="AM108" s="12"/>
      <c r="AN108" s="12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</row>
    <row r="109" spans="1:240" s="2" customFormat="1" ht="30" customHeight="1">
      <c r="A109" s="5">
        <v>107</v>
      </c>
      <c r="B109" s="5" t="s">
        <v>68</v>
      </c>
      <c r="C109" s="5"/>
      <c r="D109" s="5"/>
      <c r="E109" s="5">
        <v>8190</v>
      </c>
      <c r="F109" s="5">
        <v>2230</v>
      </c>
      <c r="G109" s="5">
        <v>2210</v>
      </c>
      <c r="H109" s="5">
        <v>1912</v>
      </c>
      <c r="I109" s="5" t="s">
        <v>13</v>
      </c>
      <c r="J109" s="5">
        <v>106.7</v>
      </c>
      <c r="K109" s="10">
        <v>5</v>
      </c>
      <c r="L109" s="11">
        <v>613.70000000000005</v>
      </c>
      <c r="M109" s="31">
        <v>10</v>
      </c>
      <c r="N109" s="5">
        <v>27.5</v>
      </c>
      <c r="O109" s="5">
        <v>264384</v>
      </c>
      <c r="P109" s="5" t="s">
        <v>48</v>
      </c>
      <c r="Q109" s="5"/>
      <c r="R109" s="5">
        <v>12</v>
      </c>
      <c r="S109" s="5">
        <v>800</v>
      </c>
      <c r="T109" s="5">
        <v>660</v>
      </c>
      <c r="U109" s="5">
        <v>880</v>
      </c>
      <c r="V109" s="5">
        <f t="shared" si="5"/>
        <v>24</v>
      </c>
      <c r="W109" s="5" t="s">
        <v>10</v>
      </c>
      <c r="X109" s="5">
        <v>61</v>
      </c>
      <c r="Y109" s="5">
        <v>1814.3</v>
      </c>
      <c r="Z109" s="5">
        <v>296.8</v>
      </c>
      <c r="AA109" s="5" t="s">
        <v>68</v>
      </c>
      <c r="AB109" s="5"/>
      <c r="AC109" s="5"/>
      <c r="AD109" s="5" t="s">
        <v>76</v>
      </c>
      <c r="AE109" s="5"/>
      <c r="AF109" s="5" t="s">
        <v>68</v>
      </c>
      <c r="AG109" s="5" t="s">
        <v>68</v>
      </c>
      <c r="AH109" s="12" t="s">
        <v>48</v>
      </c>
      <c r="AI109" s="12"/>
      <c r="AJ109" s="12"/>
      <c r="AK109" s="12"/>
      <c r="AL109" s="12"/>
      <c r="AM109" s="12"/>
      <c r="AN109" s="12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</row>
    <row r="110" spans="1:240" s="2" customFormat="1" ht="30" customHeight="1">
      <c r="A110" s="5">
        <v>108</v>
      </c>
      <c r="B110" s="5" t="s">
        <v>68</v>
      </c>
      <c r="C110" s="5"/>
      <c r="D110" s="5"/>
      <c r="E110" s="5">
        <v>8190</v>
      </c>
      <c r="F110" s="5">
        <v>2230</v>
      </c>
      <c r="G110" s="5">
        <v>2210</v>
      </c>
      <c r="H110" s="5">
        <v>2230</v>
      </c>
      <c r="I110" s="5" t="s">
        <v>13</v>
      </c>
      <c r="J110" s="5">
        <v>136</v>
      </c>
      <c r="K110" s="10">
        <v>5</v>
      </c>
      <c r="L110" s="11">
        <v>781.8</v>
      </c>
      <c r="M110" s="31">
        <v>10</v>
      </c>
      <c r="N110" s="5">
        <v>37.700000000000003</v>
      </c>
      <c r="O110" s="5">
        <v>255248</v>
      </c>
      <c r="P110" s="5" t="s">
        <v>48</v>
      </c>
      <c r="Q110" s="5"/>
      <c r="R110" s="5">
        <v>12</v>
      </c>
      <c r="S110" s="5">
        <v>800</v>
      </c>
      <c r="T110" s="5">
        <v>660</v>
      </c>
      <c r="U110" s="5">
        <v>880</v>
      </c>
      <c r="V110" s="5">
        <f t="shared" si="5"/>
        <v>24</v>
      </c>
      <c r="W110" s="5" t="s">
        <v>10</v>
      </c>
      <c r="X110" s="5">
        <v>61</v>
      </c>
      <c r="Y110" s="5">
        <v>2721.6</v>
      </c>
      <c r="Z110" s="5">
        <v>445.2</v>
      </c>
      <c r="AA110" s="5" t="s">
        <v>68</v>
      </c>
      <c r="AB110" s="5"/>
      <c r="AC110" s="5"/>
      <c r="AD110" s="5" t="s">
        <v>76</v>
      </c>
      <c r="AE110" s="5"/>
      <c r="AF110" s="5" t="s">
        <v>68</v>
      </c>
      <c r="AG110" s="5" t="s">
        <v>68</v>
      </c>
      <c r="AH110" s="12" t="s">
        <v>48</v>
      </c>
      <c r="AI110" s="12"/>
      <c r="AJ110" s="12"/>
      <c r="AK110" s="12"/>
      <c r="AL110" s="12"/>
      <c r="AM110" s="12"/>
      <c r="AN110" s="12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</row>
    <row r="111" spans="1:240" s="2" customFormat="1" ht="30" customHeight="1">
      <c r="A111" s="5">
        <v>109</v>
      </c>
      <c r="B111" s="5" t="s">
        <v>68</v>
      </c>
      <c r="C111" s="5"/>
      <c r="D111" s="5"/>
      <c r="E111" s="5">
        <v>8190</v>
      </c>
      <c r="F111" s="5">
        <v>2230</v>
      </c>
      <c r="G111" s="5">
        <v>2210</v>
      </c>
      <c r="H111" s="5">
        <v>2655</v>
      </c>
      <c r="I111" s="5" t="s">
        <v>13</v>
      </c>
      <c r="J111" s="5">
        <v>153.19999999999999</v>
      </c>
      <c r="K111" s="10">
        <v>5</v>
      </c>
      <c r="L111" s="11">
        <v>880.8</v>
      </c>
      <c r="M111" s="31">
        <v>10</v>
      </c>
      <c r="N111" s="5">
        <v>31.7</v>
      </c>
      <c r="O111" s="5">
        <v>246368</v>
      </c>
      <c r="P111" s="5" t="s">
        <v>48</v>
      </c>
      <c r="Q111" s="5"/>
      <c r="R111" s="5">
        <v>12</v>
      </c>
      <c r="S111" s="5">
        <v>800</v>
      </c>
      <c r="T111" s="5">
        <v>660</v>
      </c>
      <c r="U111" s="5">
        <v>880</v>
      </c>
      <c r="V111" s="5">
        <f t="shared" si="5"/>
        <v>24</v>
      </c>
      <c r="W111" s="5" t="s">
        <v>10</v>
      </c>
      <c r="X111" s="5">
        <v>61</v>
      </c>
      <c r="Y111" s="5">
        <v>3628.73</v>
      </c>
      <c r="Z111" s="5">
        <v>593.5</v>
      </c>
      <c r="AA111" s="5" t="s">
        <v>68</v>
      </c>
      <c r="AB111" s="5"/>
      <c r="AC111" s="5"/>
      <c r="AD111" s="5" t="s">
        <v>76</v>
      </c>
      <c r="AE111" s="5"/>
      <c r="AF111" s="5" t="s">
        <v>68</v>
      </c>
      <c r="AG111" s="5" t="s">
        <v>68</v>
      </c>
      <c r="AH111" s="12" t="s">
        <v>48</v>
      </c>
      <c r="AI111" s="12"/>
      <c r="AJ111" s="12"/>
      <c r="AK111" s="12"/>
      <c r="AL111" s="12"/>
      <c r="AM111" s="12"/>
      <c r="AN111" s="12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</row>
    <row r="112" spans="1:240" s="2" customFormat="1" ht="30" customHeight="1">
      <c r="A112" s="5">
        <v>110</v>
      </c>
      <c r="B112" s="5" t="s">
        <v>68</v>
      </c>
      <c r="C112" s="5"/>
      <c r="D112" s="5"/>
      <c r="E112" s="5">
        <v>9490</v>
      </c>
      <c r="F112" s="5">
        <v>2230</v>
      </c>
      <c r="G112" s="5">
        <v>2210</v>
      </c>
      <c r="H112" s="5">
        <v>2443</v>
      </c>
      <c r="I112" s="5" t="s">
        <v>13</v>
      </c>
      <c r="J112" s="5">
        <v>126.1</v>
      </c>
      <c r="K112" s="10">
        <v>5</v>
      </c>
      <c r="L112" s="11">
        <v>724.8</v>
      </c>
      <c r="M112" s="31">
        <v>10</v>
      </c>
      <c r="N112" s="5">
        <v>42.9</v>
      </c>
      <c r="O112" s="5">
        <v>308481</v>
      </c>
      <c r="P112" s="5" t="s">
        <v>48</v>
      </c>
      <c r="Q112" s="5"/>
      <c r="R112" s="5">
        <v>14</v>
      </c>
      <c r="S112" s="5">
        <v>800</v>
      </c>
      <c r="T112" s="5">
        <v>660</v>
      </c>
      <c r="U112" s="5">
        <v>880</v>
      </c>
      <c r="V112" s="5">
        <f t="shared" si="5"/>
        <v>28</v>
      </c>
      <c r="W112" s="5" t="s">
        <v>10</v>
      </c>
      <c r="X112" s="5">
        <v>61</v>
      </c>
      <c r="Y112" s="5">
        <v>2118.6999999999998</v>
      </c>
      <c r="Z112" s="5">
        <v>346.5</v>
      </c>
      <c r="AA112" s="5" t="s">
        <v>68</v>
      </c>
      <c r="AB112" s="5"/>
      <c r="AC112" s="5"/>
      <c r="AD112" s="5" t="s">
        <v>76</v>
      </c>
      <c r="AE112" s="5"/>
      <c r="AF112" s="5" t="s">
        <v>68</v>
      </c>
      <c r="AG112" s="5" t="s">
        <v>68</v>
      </c>
      <c r="AH112" s="12" t="s">
        <v>48</v>
      </c>
      <c r="AI112" s="12"/>
      <c r="AJ112" s="12"/>
      <c r="AK112" s="12"/>
      <c r="AL112" s="12"/>
      <c r="AM112" s="12"/>
      <c r="AN112" s="12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</row>
    <row r="113" spans="1:240" s="2" customFormat="1" ht="30" customHeight="1">
      <c r="A113" s="5">
        <v>111</v>
      </c>
      <c r="B113" s="5" t="s">
        <v>68</v>
      </c>
      <c r="C113" s="5"/>
      <c r="D113" s="5"/>
      <c r="E113" s="5">
        <v>9490</v>
      </c>
      <c r="F113" s="5">
        <v>2230</v>
      </c>
      <c r="G113" s="5">
        <v>2210</v>
      </c>
      <c r="H113" s="5">
        <v>2761</v>
      </c>
      <c r="I113" s="5" t="s">
        <v>13</v>
      </c>
      <c r="J113" s="5">
        <v>157.9</v>
      </c>
      <c r="K113" s="10">
        <v>5</v>
      </c>
      <c r="L113" s="11">
        <v>907.9</v>
      </c>
      <c r="M113" s="31">
        <v>10</v>
      </c>
      <c r="N113" s="5">
        <v>31.2</v>
      </c>
      <c r="O113" s="5">
        <v>297839</v>
      </c>
      <c r="P113" s="5" t="s">
        <v>48</v>
      </c>
      <c r="Q113" s="5"/>
      <c r="R113" s="5">
        <v>14</v>
      </c>
      <c r="S113" s="5">
        <v>800</v>
      </c>
      <c r="T113" s="5">
        <v>660</v>
      </c>
      <c r="U113" s="5">
        <v>880</v>
      </c>
      <c r="V113" s="5">
        <f t="shared" si="5"/>
        <v>28</v>
      </c>
      <c r="W113" s="5" t="s">
        <v>10</v>
      </c>
      <c r="X113" s="5">
        <v>61</v>
      </c>
      <c r="Y113" s="5">
        <v>3178</v>
      </c>
      <c r="Z113" s="5">
        <v>519.9</v>
      </c>
      <c r="AA113" s="5" t="s">
        <v>68</v>
      </c>
      <c r="AB113" s="5"/>
      <c r="AC113" s="5"/>
      <c r="AD113" s="5" t="s">
        <v>76</v>
      </c>
      <c r="AE113" s="5"/>
      <c r="AF113" s="5" t="s">
        <v>68</v>
      </c>
      <c r="AG113" s="5" t="s">
        <v>68</v>
      </c>
      <c r="AH113" s="12" t="s">
        <v>48</v>
      </c>
      <c r="AI113" s="12"/>
      <c r="AJ113" s="12"/>
      <c r="AK113" s="12"/>
      <c r="AL113" s="12"/>
      <c r="AM113" s="12"/>
      <c r="AN113" s="12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</row>
    <row r="114" spans="1:240" s="2" customFormat="1" ht="30" customHeight="1">
      <c r="A114" s="5">
        <v>112</v>
      </c>
      <c r="B114" s="5" t="s">
        <v>68</v>
      </c>
      <c r="C114" s="5"/>
      <c r="D114" s="5"/>
      <c r="E114" s="5">
        <v>9490</v>
      </c>
      <c r="F114" s="5">
        <v>2230</v>
      </c>
      <c r="G114" s="5">
        <v>2210</v>
      </c>
      <c r="H114" s="5">
        <v>3175</v>
      </c>
      <c r="I114" s="5" t="s">
        <v>13</v>
      </c>
      <c r="J114" s="5">
        <v>180.2</v>
      </c>
      <c r="K114" s="10">
        <v>5</v>
      </c>
      <c r="L114" s="11">
        <v>1036</v>
      </c>
      <c r="M114" s="31">
        <v>10</v>
      </c>
      <c r="N114" s="5">
        <v>49</v>
      </c>
      <c r="O114" s="5">
        <v>287492</v>
      </c>
      <c r="P114" s="5" t="s">
        <v>48</v>
      </c>
      <c r="Q114" s="5"/>
      <c r="R114" s="5">
        <v>14</v>
      </c>
      <c r="S114" s="5">
        <v>800</v>
      </c>
      <c r="T114" s="5">
        <v>660</v>
      </c>
      <c r="U114" s="5">
        <v>880</v>
      </c>
      <c r="V114" s="5">
        <f t="shared" si="5"/>
        <v>28</v>
      </c>
      <c r="W114" s="5" t="s">
        <v>10</v>
      </c>
      <c r="X114" s="5">
        <v>61</v>
      </c>
      <c r="Y114" s="5">
        <v>4237.3999999999996</v>
      </c>
      <c r="Z114" s="5">
        <v>693.1</v>
      </c>
      <c r="AA114" s="5" t="s">
        <v>68</v>
      </c>
      <c r="AB114" s="5"/>
      <c r="AC114" s="5"/>
      <c r="AD114" s="5" t="s">
        <v>76</v>
      </c>
      <c r="AE114" s="5"/>
      <c r="AF114" s="5" t="s">
        <v>68</v>
      </c>
      <c r="AG114" s="5" t="s">
        <v>68</v>
      </c>
      <c r="AH114" s="12" t="s">
        <v>48</v>
      </c>
      <c r="AI114" s="12"/>
      <c r="AJ114" s="12"/>
      <c r="AK114" s="12"/>
      <c r="AL114" s="12"/>
      <c r="AM114" s="12"/>
      <c r="AN114" s="12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</row>
    <row r="115" spans="1:240" s="2" customFormat="1" ht="30" customHeight="1">
      <c r="A115" s="5">
        <v>113</v>
      </c>
      <c r="B115" s="5" t="s">
        <v>68</v>
      </c>
      <c r="C115" s="5"/>
      <c r="D115" s="5"/>
      <c r="E115" s="5">
        <v>10800</v>
      </c>
      <c r="F115" s="5">
        <v>2230</v>
      </c>
      <c r="G115" s="5">
        <v>2210</v>
      </c>
      <c r="H115" s="5">
        <v>2867</v>
      </c>
      <c r="I115" s="5" t="s">
        <v>13</v>
      </c>
      <c r="J115" s="5">
        <v>145.4</v>
      </c>
      <c r="K115" s="10">
        <v>5</v>
      </c>
      <c r="L115" s="11">
        <v>836.1</v>
      </c>
      <c r="M115" s="31">
        <v>10</v>
      </c>
      <c r="N115" s="5">
        <v>63</v>
      </c>
      <c r="O115" s="5">
        <v>352578</v>
      </c>
      <c r="P115" s="5" t="s">
        <v>48</v>
      </c>
      <c r="Q115" s="5"/>
      <c r="R115" s="5">
        <v>16</v>
      </c>
      <c r="S115" s="5">
        <v>800</v>
      </c>
      <c r="T115" s="5">
        <v>660</v>
      </c>
      <c r="U115" s="5">
        <v>880</v>
      </c>
      <c r="V115" s="5">
        <f t="shared" si="5"/>
        <v>32</v>
      </c>
      <c r="W115" s="5" t="s">
        <v>10</v>
      </c>
      <c r="X115" s="5">
        <v>62</v>
      </c>
      <c r="Y115" s="5">
        <v>2423</v>
      </c>
      <c r="Z115" s="5">
        <v>396.4</v>
      </c>
      <c r="AA115" s="5" t="s">
        <v>68</v>
      </c>
      <c r="AB115" s="5"/>
      <c r="AC115" s="5"/>
      <c r="AD115" s="5" t="s">
        <v>76</v>
      </c>
      <c r="AE115" s="5"/>
      <c r="AF115" s="5" t="s">
        <v>68</v>
      </c>
      <c r="AG115" s="5" t="s">
        <v>68</v>
      </c>
      <c r="AH115" s="12" t="s">
        <v>48</v>
      </c>
      <c r="AI115" s="12"/>
      <c r="AJ115" s="12"/>
      <c r="AK115" s="12"/>
      <c r="AL115" s="12"/>
      <c r="AM115" s="12"/>
      <c r="AN115" s="12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</row>
    <row r="116" spans="1:240" s="2" customFormat="1" ht="30" customHeight="1">
      <c r="A116" s="5">
        <v>114</v>
      </c>
      <c r="B116" s="5" t="s">
        <v>68</v>
      </c>
      <c r="C116" s="5"/>
      <c r="D116" s="5"/>
      <c r="E116" s="5">
        <v>10800</v>
      </c>
      <c r="F116" s="5">
        <v>2230</v>
      </c>
      <c r="G116" s="5">
        <v>2210</v>
      </c>
      <c r="H116" s="5">
        <v>3165</v>
      </c>
      <c r="I116" s="5" t="s">
        <v>13</v>
      </c>
      <c r="J116" s="5">
        <v>182.2</v>
      </c>
      <c r="K116" s="10">
        <v>5</v>
      </c>
      <c r="L116" s="11">
        <v>1047.5</v>
      </c>
      <c r="M116" s="31">
        <v>10</v>
      </c>
      <c r="N116" s="5">
        <v>46</v>
      </c>
      <c r="O116" s="5">
        <v>340429</v>
      </c>
      <c r="P116" s="5" t="s">
        <v>48</v>
      </c>
      <c r="Q116" s="5"/>
      <c r="R116" s="5">
        <v>16</v>
      </c>
      <c r="S116" s="5">
        <v>800</v>
      </c>
      <c r="T116" s="5">
        <v>660</v>
      </c>
      <c r="U116" s="5">
        <v>880</v>
      </c>
      <c r="V116" s="5">
        <f t="shared" si="5"/>
        <v>32</v>
      </c>
      <c r="W116" s="5" t="s">
        <v>10</v>
      </c>
      <c r="X116" s="5">
        <v>62</v>
      </c>
      <c r="Y116" s="5">
        <v>3634.5</v>
      </c>
      <c r="Z116" s="5">
        <v>594.6</v>
      </c>
      <c r="AA116" s="5" t="s">
        <v>68</v>
      </c>
      <c r="AB116" s="5"/>
      <c r="AC116" s="5"/>
      <c r="AD116" s="5" t="s">
        <v>76</v>
      </c>
      <c r="AE116" s="5"/>
      <c r="AF116" s="5" t="s">
        <v>68</v>
      </c>
      <c r="AG116" s="5" t="s">
        <v>68</v>
      </c>
      <c r="AH116" s="12" t="s">
        <v>48</v>
      </c>
      <c r="AI116" s="12"/>
      <c r="AJ116" s="12"/>
      <c r="AK116" s="12"/>
      <c r="AL116" s="12"/>
      <c r="AM116" s="12"/>
      <c r="AN116" s="12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</row>
    <row r="117" spans="1:240" s="2" customFormat="1" ht="30" customHeight="1">
      <c r="A117" s="5">
        <v>115</v>
      </c>
      <c r="B117" s="5" t="s">
        <v>68</v>
      </c>
      <c r="C117" s="5"/>
      <c r="D117" s="5"/>
      <c r="E117" s="5">
        <v>10800</v>
      </c>
      <c r="F117" s="5">
        <v>2230</v>
      </c>
      <c r="G117" s="5">
        <v>2210</v>
      </c>
      <c r="H117" s="5">
        <v>3590</v>
      </c>
      <c r="I117" s="5" t="s">
        <v>13</v>
      </c>
      <c r="J117" s="5">
        <v>204.7</v>
      </c>
      <c r="K117" s="10">
        <v>5</v>
      </c>
      <c r="L117" s="11">
        <v>1176.8</v>
      </c>
      <c r="M117" s="31">
        <v>10</v>
      </c>
      <c r="N117" s="5">
        <v>34</v>
      </c>
      <c r="O117" s="5">
        <v>328616</v>
      </c>
      <c r="P117" s="5" t="s">
        <v>48</v>
      </c>
      <c r="Q117" s="5"/>
      <c r="R117" s="5">
        <v>16</v>
      </c>
      <c r="S117" s="5">
        <v>800</v>
      </c>
      <c r="T117" s="5">
        <v>660</v>
      </c>
      <c r="U117" s="5">
        <v>880</v>
      </c>
      <c r="V117" s="5">
        <f t="shared" si="5"/>
        <v>32</v>
      </c>
      <c r="W117" s="5" t="s">
        <v>10</v>
      </c>
      <c r="X117" s="5">
        <v>62</v>
      </c>
      <c r="Y117" s="5">
        <v>4846</v>
      </c>
      <c r="Z117" s="5">
        <v>792.8</v>
      </c>
      <c r="AA117" s="5" t="s">
        <v>68</v>
      </c>
      <c r="AB117" s="5"/>
      <c r="AC117" s="5"/>
      <c r="AD117" s="5" t="s">
        <v>76</v>
      </c>
      <c r="AE117" s="5"/>
      <c r="AF117" s="5" t="s">
        <v>68</v>
      </c>
      <c r="AG117" s="5" t="s">
        <v>68</v>
      </c>
      <c r="AH117" s="12" t="s">
        <v>48</v>
      </c>
      <c r="AI117" s="12"/>
      <c r="AJ117" s="12"/>
      <c r="AK117" s="12"/>
      <c r="AL117" s="12"/>
      <c r="AM117" s="12"/>
      <c r="AN117" s="12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</row>
    <row r="118" spans="1:240" s="2" customFormat="1" ht="30" customHeight="1">
      <c r="A118" s="5">
        <v>116</v>
      </c>
      <c r="B118" s="5" t="s">
        <v>68</v>
      </c>
      <c r="C118" s="5"/>
      <c r="D118" s="5"/>
      <c r="E118" s="5">
        <v>2940</v>
      </c>
      <c r="F118" s="5">
        <v>2230</v>
      </c>
      <c r="G118" s="5">
        <v>2210</v>
      </c>
      <c r="H118" s="5">
        <v>690</v>
      </c>
      <c r="I118" s="5" t="s">
        <v>13</v>
      </c>
      <c r="J118" s="5">
        <v>34.9</v>
      </c>
      <c r="K118" s="10">
        <v>5</v>
      </c>
      <c r="L118" s="11">
        <v>200.5</v>
      </c>
      <c r="M118" s="31">
        <v>10</v>
      </c>
      <c r="N118" s="5">
        <v>15.2</v>
      </c>
      <c r="O118" s="5">
        <v>88812</v>
      </c>
      <c r="P118" s="5" t="s">
        <v>48</v>
      </c>
      <c r="Q118" s="5"/>
      <c r="R118" s="5">
        <v>4</v>
      </c>
      <c r="S118" s="5">
        <v>910</v>
      </c>
      <c r="T118" s="5">
        <v>660</v>
      </c>
      <c r="U118" s="5">
        <v>860</v>
      </c>
      <c r="V118" s="5">
        <f t="shared" ref="V118:V138" si="6">1.65*R118</f>
        <v>6.6</v>
      </c>
      <c r="W118" s="5" t="s">
        <v>10</v>
      </c>
      <c r="X118" s="14">
        <v>58</v>
      </c>
      <c r="Y118" s="5">
        <v>597.5</v>
      </c>
      <c r="Z118" s="5">
        <v>97.6</v>
      </c>
      <c r="AA118" s="5" t="s">
        <v>68</v>
      </c>
      <c r="AB118" s="5"/>
      <c r="AC118" s="5"/>
      <c r="AD118" s="5" t="s">
        <v>76</v>
      </c>
      <c r="AE118" s="5"/>
      <c r="AF118" s="5" t="s">
        <v>68</v>
      </c>
      <c r="AG118" s="5" t="s">
        <v>68</v>
      </c>
      <c r="AH118" s="12" t="s">
        <v>48</v>
      </c>
      <c r="AI118" s="12"/>
      <c r="AJ118" s="12"/>
      <c r="AK118" s="12"/>
      <c r="AL118" s="12"/>
      <c r="AM118" s="12"/>
      <c r="AN118" s="12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</row>
    <row r="119" spans="1:240" s="2" customFormat="1" ht="30" customHeight="1">
      <c r="A119" s="5">
        <v>117</v>
      </c>
      <c r="B119" s="5" t="s">
        <v>68</v>
      </c>
      <c r="C119" s="5"/>
      <c r="D119" s="5"/>
      <c r="E119" s="5">
        <v>2940</v>
      </c>
      <c r="F119" s="5">
        <v>2230</v>
      </c>
      <c r="G119" s="5">
        <v>2210</v>
      </c>
      <c r="H119" s="5">
        <v>797</v>
      </c>
      <c r="I119" s="5" t="s">
        <v>13</v>
      </c>
      <c r="J119" s="5">
        <v>44</v>
      </c>
      <c r="K119" s="10">
        <v>5</v>
      </c>
      <c r="L119" s="11">
        <v>252.9</v>
      </c>
      <c r="M119" s="31">
        <v>10</v>
      </c>
      <c r="N119" s="5">
        <v>13.5</v>
      </c>
      <c r="O119" s="5">
        <v>85402</v>
      </c>
      <c r="P119" s="5" t="s">
        <v>48</v>
      </c>
      <c r="Q119" s="5"/>
      <c r="R119" s="5">
        <v>4</v>
      </c>
      <c r="S119" s="5">
        <v>910</v>
      </c>
      <c r="T119" s="5">
        <v>660</v>
      </c>
      <c r="U119" s="5">
        <v>860</v>
      </c>
      <c r="V119" s="5">
        <f t="shared" si="6"/>
        <v>6.6</v>
      </c>
      <c r="W119" s="5" t="s">
        <v>10</v>
      </c>
      <c r="X119" s="5">
        <v>58</v>
      </c>
      <c r="Y119" s="5">
        <v>895.5</v>
      </c>
      <c r="Z119" s="5">
        <v>146.6</v>
      </c>
      <c r="AA119" s="5" t="s">
        <v>68</v>
      </c>
      <c r="AB119" s="5"/>
      <c r="AC119" s="5"/>
      <c r="AD119" s="5" t="s">
        <v>76</v>
      </c>
      <c r="AE119" s="5"/>
      <c r="AF119" s="5" t="s">
        <v>68</v>
      </c>
      <c r="AG119" s="5" t="s">
        <v>68</v>
      </c>
      <c r="AH119" s="12" t="s">
        <v>48</v>
      </c>
      <c r="AI119" s="12"/>
      <c r="AJ119" s="12"/>
      <c r="AK119" s="12"/>
      <c r="AL119" s="12"/>
      <c r="AM119" s="12"/>
      <c r="AN119" s="12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</row>
    <row r="120" spans="1:240" s="2" customFormat="1" ht="30" customHeight="1">
      <c r="A120" s="5">
        <v>118</v>
      </c>
      <c r="B120" s="5" t="s">
        <v>68</v>
      </c>
      <c r="C120" s="5"/>
      <c r="D120" s="5"/>
      <c r="E120" s="5">
        <v>2940</v>
      </c>
      <c r="F120" s="5">
        <v>2230</v>
      </c>
      <c r="G120" s="5">
        <v>2210</v>
      </c>
      <c r="H120" s="5">
        <v>913</v>
      </c>
      <c r="I120" s="5" t="s">
        <v>13</v>
      </c>
      <c r="J120" s="5">
        <v>49.6</v>
      </c>
      <c r="K120" s="10">
        <v>5</v>
      </c>
      <c r="L120" s="11">
        <v>285</v>
      </c>
      <c r="M120" s="31">
        <v>10</v>
      </c>
      <c r="N120" s="5">
        <v>11.1</v>
      </c>
      <c r="O120" s="5">
        <v>82038</v>
      </c>
      <c r="P120" s="5" t="s">
        <v>48</v>
      </c>
      <c r="Q120" s="5"/>
      <c r="R120" s="5">
        <v>4</v>
      </c>
      <c r="S120" s="5">
        <v>910</v>
      </c>
      <c r="T120" s="5">
        <v>660</v>
      </c>
      <c r="U120" s="5">
        <v>860</v>
      </c>
      <c r="V120" s="5">
        <f t="shared" si="6"/>
        <v>6.6</v>
      </c>
      <c r="W120" s="5" t="s">
        <v>10</v>
      </c>
      <c r="X120" s="5">
        <v>58</v>
      </c>
      <c r="Y120" s="5">
        <v>1194.0999999999999</v>
      </c>
      <c r="Z120" s="5">
        <v>195.4</v>
      </c>
      <c r="AA120" s="5" t="s">
        <v>68</v>
      </c>
      <c r="AB120" s="5"/>
      <c r="AC120" s="5"/>
      <c r="AD120" s="5" t="s">
        <v>76</v>
      </c>
      <c r="AE120" s="5"/>
      <c r="AF120" s="5" t="s">
        <v>68</v>
      </c>
      <c r="AG120" s="5" t="s">
        <v>68</v>
      </c>
      <c r="AH120" s="12" t="s">
        <v>48</v>
      </c>
      <c r="AI120" s="12"/>
      <c r="AJ120" s="12"/>
      <c r="AK120" s="12"/>
      <c r="AL120" s="12"/>
      <c r="AM120" s="12"/>
      <c r="AN120" s="12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</row>
    <row r="121" spans="1:240" s="2" customFormat="1" ht="30" customHeight="1">
      <c r="A121" s="5">
        <v>119</v>
      </c>
      <c r="B121" s="5" t="s">
        <v>68</v>
      </c>
      <c r="C121" s="5"/>
      <c r="D121" s="5"/>
      <c r="E121" s="5">
        <v>4250</v>
      </c>
      <c r="F121" s="5">
        <v>2230</v>
      </c>
      <c r="G121" s="5">
        <v>2210</v>
      </c>
      <c r="H121" s="5">
        <v>903</v>
      </c>
      <c r="I121" s="5" t="s">
        <v>13</v>
      </c>
      <c r="J121" s="5">
        <v>53.5</v>
      </c>
      <c r="K121" s="10">
        <v>5</v>
      </c>
      <c r="L121" s="11">
        <v>307.8</v>
      </c>
      <c r="M121" s="31">
        <v>10</v>
      </c>
      <c r="N121" s="5">
        <v>28.5</v>
      </c>
      <c r="O121" s="5">
        <v>133328</v>
      </c>
      <c r="P121" s="5" t="s">
        <v>48</v>
      </c>
      <c r="Q121" s="5"/>
      <c r="R121" s="5">
        <v>6</v>
      </c>
      <c r="S121" s="5">
        <v>910</v>
      </c>
      <c r="T121" s="5">
        <v>660</v>
      </c>
      <c r="U121" s="5">
        <v>860</v>
      </c>
      <c r="V121" s="5">
        <f t="shared" si="6"/>
        <v>9.8999999999999986</v>
      </c>
      <c r="W121" s="5" t="s">
        <v>10</v>
      </c>
      <c r="X121" s="5">
        <v>60</v>
      </c>
      <c r="Y121" s="5">
        <v>901.3</v>
      </c>
      <c r="Z121" s="5">
        <v>147.5</v>
      </c>
      <c r="AA121" s="5" t="s">
        <v>68</v>
      </c>
      <c r="AB121" s="5"/>
      <c r="AC121" s="5"/>
      <c r="AD121" s="5" t="s">
        <v>76</v>
      </c>
      <c r="AE121" s="5"/>
      <c r="AF121" s="5" t="s">
        <v>68</v>
      </c>
      <c r="AG121" s="5" t="s">
        <v>68</v>
      </c>
      <c r="AH121" s="12" t="s">
        <v>48</v>
      </c>
      <c r="AI121" s="12"/>
      <c r="AJ121" s="12"/>
      <c r="AK121" s="12"/>
      <c r="AL121" s="12"/>
      <c r="AM121" s="12"/>
      <c r="AN121" s="12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</row>
    <row r="122" spans="1:240" s="2" customFormat="1" ht="30" customHeight="1">
      <c r="A122" s="5">
        <v>120</v>
      </c>
      <c r="B122" s="5" t="s">
        <v>68</v>
      </c>
      <c r="C122" s="5"/>
      <c r="D122" s="5"/>
      <c r="E122" s="5">
        <v>4250</v>
      </c>
      <c r="F122" s="5">
        <v>2230</v>
      </c>
      <c r="G122" s="5">
        <v>2210</v>
      </c>
      <c r="H122" s="5">
        <v>1115</v>
      </c>
      <c r="I122" s="5" t="s">
        <v>13</v>
      </c>
      <c r="J122" s="5">
        <v>68.3</v>
      </c>
      <c r="K122" s="10">
        <v>5</v>
      </c>
      <c r="L122" s="11">
        <v>392.4</v>
      </c>
      <c r="M122" s="31">
        <v>10</v>
      </c>
      <c r="N122" s="5">
        <v>43.2</v>
      </c>
      <c r="O122" s="5">
        <v>128271</v>
      </c>
      <c r="P122" s="5" t="s">
        <v>48</v>
      </c>
      <c r="Q122" s="5"/>
      <c r="R122" s="5">
        <v>6</v>
      </c>
      <c r="S122" s="5">
        <v>910</v>
      </c>
      <c r="T122" s="5">
        <v>660</v>
      </c>
      <c r="U122" s="5">
        <v>860</v>
      </c>
      <c r="V122" s="5">
        <f t="shared" si="6"/>
        <v>9.8999999999999986</v>
      </c>
      <c r="W122" s="5" t="s">
        <v>10</v>
      </c>
      <c r="X122" s="5">
        <v>60</v>
      </c>
      <c r="Y122" s="5">
        <v>1352.1</v>
      </c>
      <c r="Z122" s="5">
        <v>221.1</v>
      </c>
      <c r="AA122" s="5" t="s">
        <v>68</v>
      </c>
      <c r="AB122" s="5"/>
      <c r="AC122" s="5"/>
      <c r="AD122" s="5" t="s">
        <v>76</v>
      </c>
      <c r="AE122" s="5"/>
      <c r="AF122" s="5" t="s">
        <v>68</v>
      </c>
      <c r="AG122" s="5" t="s">
        <v>68</v>
      </c>
      <c r="AH122" s="12" t="s">
        <v>48</v>
      </c>
      <c r="AI122" s="12"/>
      <c r="AJ122" s="12"/>
      <c r="AK122" s="12"/>
      <c r="AL122" s="12"/>
      <c r="AM122" s="12"/>
      <c r="AN122" s="12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</row>
    <row r="123" spans="1:240" s="2" customFormat="1" ht="30" customHeight="1">
      <c r="A123" s="5">
        <v>121</v>
      </c>
      <c r="B123" s="5" t="s">
        <v>68</v>
      </c>
      <c r="C123" s="5"/>
      <c r="D123" s="5"/>
      <c r="E123" s="5">
        <v>4250</v>
      </c>
      <c r="F123" s="5">
        <v>2230</v>
      </c>
      <c r="G123" s="5">
        <v>2210</v>
      </c>
      <c r="H123" s="5">
        <v>1328</v>
      </c>
      <c r="I123" s="5" t="s">
        <v>13</v>
      </c>
      <c r="J123" s="5">
        <v>76.599999999999994</v>
      </c>
      <c r="K123" s="10">
        <v>5</v>
      </c>
      <c r="L123" s="11">
        <v>440.7</v>
      </c>
      <c r="M123" s="31">
        <v>10</v>
      </c>
      <c r="N123" s="5">
        <v>35.299999999999997</v>
      </c>
      <c r="O123" s="5">
        <v>123272</v>
      </c>
      <c r="P123" s="5" t="s">
        <v>48</v>
      </c>
      <c r="Q123" s="5"/>
      <c r="R123" s="5">
        <v>6</v>
      </c>
      <c r="S123" s="5">
        <v>910</v>
      </c>
      <c r="T123" s="5">
        <v>660</v>
      </c>
      <c r="U123" s="5">
        <v>860</v>
      </c>
      <c r="V123" s="5">
        <f t="shared" si="6"/>
        <v>9.8999999999999986</v>
      </c>
      <c r="W123" s="5" t="s">
        <v>10</v>
      </c>
      <c r="X123" s="5">
        <v>60</v>
      </c>
      <c r="Y123" s="5">
        <v>1802.8</v>
      </c>
      <c r="Z123" s="5">
        <v>294.89999999999998</v>
      </c>
      <c r="AA123" s="5" t="s">
        <v>68</v>
      </c>
      <c r="AB123" s="5"/>
      <c r="AC123" s="5"/>
      <c r="AD123" s="5" t="s">
        <v>76</v>
      </c>
      <c r="AE123" s="5"/>
      <c r="AF123" s="5" t="s">
        <v>68</v>
      </c>
      <c r="AG123" s="5" t="s">
        <v>68</v>
      </c>
      <c r="AH123" s="12" t="s">
        <v>48</v>
      </c>
      <c r="AI123" s="12"/>
      <c r="AJ123" s="12"/>
      <c r="AK123" s="12"/>
      <c r="AL123" s="12"/>
      <c r="AM123" s="12"/>
      <c r="AN123" s="12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</row>
    <row r="124" spans="1:240" s="2" customFormat="1" ht="30" customHeight="1">
      <c r="A124" s="5">
        <v>122</v>
      </c>
      <c r="B124" s="5" t="s">
        <v>68</v>
      </c>
      <c r="C124" s="5"/>
      <c r="D124" s="5"/>
      <c r="E124" s="5">
        <v>5560</v>
      </c>
      <c r="F124" s="5">
        <v>2230</v>
      </c>
      <c r="G124" s="5">
        <v>2210</v>
      </c>
      <c r="H124" s="5">
        <v>1359</v>
      </c>
      <c r="I124" s="5" t="s">
        <v>13</v>
      </c>
      <c r="J124" s="5">
        <v>71.5</v>
      </c>
      <c r="K124" s="10">
        <v>5</v>
      </c>
      <c r="L124" s="11">
        <v>411</v>
      </c>
      <c r="M124" s="31">
        <v>10</v>
      </c>
      <c r="N124" s="5">
        <v>28.2</v>
      </c>
      <c r="O124" s="5">
        <v>177843</v>
      </c>
      <c r="P124" s="5" t="s">
        <v>48</v>
      </c>
      <c r="Q124" s="5"/>
      <c r="R124" s="5">
        <v>8</v>
      </c>
      <c r="S124" s="5">
        <v>910</v>
      </c>
      <c r="T124" s="5">
        <v>660</v>
      </c>
      <c r="U124" s="5">
        <v>860</v>
      </c>
      <c r="V124" s="5">
        <f t="shared" si="6"/>
        <v>13.2</v>
      </c>
      <c r="W124" s="5" t="s">
        <v>10</v>
      </c>
      <c r="X124" s="5">
        <v>61</v>
      </c>
      <c r="Y124" s="5">
        <v>1205.7</v>
      </c>
      <c r="Z124" s="5">
        <v>197.1</v>
      </c>
      <c r="AA124" s="5" t="s">
        <v>68</v>
      </c>
      <c r="AB124" s="5"/>
      <c r="AC124" s="5"/>
      <c r="AD124" s="5" t="s">
        <v>76</v>
      </c>
      <c r="AE124" s="5"/>
      <c r="AF124" s="5" t="s">
        <v>68</v>
      </c>
      <c r="AG124" s="5" t="s">
        <v>68</v>
      </c>
      <c r="AH124" s="12" t="s">
        <v>48</v>
      </c>
      <c r="AI124" s="12"/>
      <c r="AJ124" s="12"/>
      <c r="AK124" s="12"/>
      <c r="AL124" s="12"/>
      <c r="AM124" s="12"/>
      <c r="AN124" s="12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</row>
    <row r="125" spans="1:240" s="2" customFormat="1" ht="30" customHeight="1">
      <c r="A125" s="5">
        <v>123</v>
      </c>
      <c r="B125" s="5" t="s">
        <v>68</v>
      </c>
      <c r="C125" s="5"/>
      <c r="D125" s="5"/>
      <c r="E125" s="5">
        <v>5560</v>
      </c>
      <c r="F125" s="5">
        <v>2230</v>
      </c>
      <c r="G125" s="5">
        <v>2210</v>
      </c>
      <c r="H125" s="5">
        <v>1572</v>
      </c>
      <c r="I125" s="5" t="s">
        <v>13</v>
      </c>
      <c r="J125" s="5">
        <v>89.5</v>
      </c>
      <c r="K125" s="10">
        <v>5</v>
      </c>
      <c r="L125" s="11">
        <v>514.5</v>
      </c>
      <c r="M125" s="31">
        <v>10</v>
      </c>
      <c r="N125" s="5">
        <v>20.399999999999999</v>
      </c>
      <c r="O125" s="5">
        <v>171137</v>
      </c>
      <c r="P125" s="5" t="s">
        <v>48</v>
      </c>
      <c r="Q125" s="5"/>
      <c r="R125" s="5">
        <v>8</v>
      </c>
      <c r="S125" s="5">
        <v>910</v>
      </c>
      <c r="T125" s="5">
        <v>660</v>
      </c>
      <c r="U125" s="5">
        <v>860</v>
      </c>
      <c r="V125" s="5">
        <f t="shared" si="6"/>
        <v>13.2</v>
      </c>
      <c r="W125" s="5" t="s">
        <v>10</v>
      </c>
      <c r="X125" s="5">
        <v>61</v>
      </c>
      <c r="Y125" s="5">
        <v>1808.5</v>
      </c>
      <c r="Z125" s="5">
        <v>295.8</v>
      </c>
      <c r="AA125" s="5" t="s">
        <v>68</v>
      </c>
      <c r="AB125" s="5"/>
      <c r="AC125" s="5"/>
      <c r="AD125" s="5" t="s">
        <v>76</v>
      </c>
      <c r="AE125" s="5"/>
      <c r="AF125" s="5" t="s">
        <v>68</v>
      </c>
      <c r="AG125" s="5" t="s">
        <v>68</v>
      </c>
      <c r="AH125" s="12" t="s">
        <v>48</v>
      </c>
      <c r="AI125" s="12"/>
      <c r="AJ125" s="12"/>
      <c r="AK125" s="12"/>
      <c r="AL125" s="12"/>
      <c r="AM125" s="12"/>
      <c r="AN125" s="12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</row>
    <row r="126" spans="1:240" s="2" customFormat="1" ht="30" customHeight="1">
      <c r="A126" s="5">
        <v>124</v>
      </c>
      <c r="B126" s="5" t="s">
        <v>68</v>
      </c>
      <c r="C126" s="5"/>
      <c r="D126" s="5"/>
      <c r="E126" s="5">
        <v>5560</v>
      </c>
      <c r="F126" s="5">
        <v>2230</v>
      </c>
      <c r="G126" s="5">
        <v>2210</v>
      </c>
      <c r="H126" s="5">
        <v>1805</v>
      </c>
      <c r="I126" s="5" t="s">
        <v>13</v>
      </c>
      <c r="J126" s="5">
        <v>102.3</v>
      </c>
      <c r="K126" s="10">
        <v>5</v>
      </c>
      <c r="L126" s="11">
        <v>588.4</v>
      </c>
      <c r="M126" s="31">
        <v>10</v>
      </c>
      <c r="N126" s="5">
        <v>34.9</v>
      </c>
      <c r="O126" s="5">
        <v>164504</v>
      </c>
      <c r="P126" s="5" t="s">
        <v>48</v>
      </c>
      <c r="Q126" s="5"/>
      <c r="R126" s="5">
        <v>8</v>
      </c>
      <c r="S126" s="5">
        <v>910</v>
      </c>
      <c r="T126" s="5">
        <v>660</v>
      </c>
      <c r="U126" s="5">
        <v>860</v>
      </c>
      <c r="V126" s="5">
        <f t="shared" si="6"/>
        <v>13.2</v>
      </c>
      <c r="W126" s="5" t="s">
        <v>10</v>
      </c>
      <c r="X126" s="5">
        <v>61</v>
      </c>
      <c r="Y126" s="5">
        <v>2411.4</v>
      </c>
      <c r="Z126" s="5">
        <v>394.4</v>
      </c>
      <c r="AA126" s="5" t="s">
        <v>68</v>
      </c>
      <c r="AB126" s="5"/>
      <c r="AC126" s="5"/>
      <c r="AD126" s="5" t="s">
        <v>76</v>
      </c>
      <c r="AE126" s="5"/>
      <c r="AF126" s="5" t="s">
        <v>68</v>
      </c>
      <c r="AG126" s="5" t="s">
        <v>68</v>
      </c>
      <c r="AH126" s="12" t="s">
        <v>48</v>
      </c>
      <c r="AI126" s="12"/>
      <c r="AJ126" s="12"/>
      <c r="AK126" s="12"/>
      <c r="AL126" s="12"/>
      <c r="AM126" s="12"/>
      <c r="AN126" s="12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</row>
    <row r="127" spans="1:240" s="2" customFormat="1" ht="30" customHeight="1">
      <c r="A127" s="5">
        <v>125</v>
      </c>
      <c r="B127" s="5" t="s">
        <v>68</v>
      </c>
      <c r="C127" s="5"/>
      <c r="D127" s="5"/>
      <c r="E127" s="5">
        <v>6870</v>
      </c>
      <c r="F127" s="5">
        <v>2230</v>
      </c>
      <c r="G127" s="5">
        <v>2210</v>
      </c>
      <c r="H127" s="5">
        <v>1699</v>
      </c>
      <c r="I127" s="5" t="s">
        <v>13</v>
      </c>
      <c r="J127" s="5">
        <v>89.8</v>
      </c>
      <c r="K127" s="10">
        <v>5</v>
      </c>
      <c r="L127" s="11">
        <v>516.29999999999995</v>
      </c>
      <c r="M127" s="31">
        <v>10</v>
      </c>
      <c r="N127" s="5">
        <v>32.5</v>
      </c>
      <c r="O127" s="5">
        <v>222358</v>
      </c>
      <c r="P127" s="5" t="s">
        <v>48</v>
      </c>
      <c r="Q127" s="5"/>
      <c r="R127" s="5">
        <v>10</v>
      </c>
      <c r="S127" s="5">
        <v>910</v>
      </c>
      <c r="T127" s="5">
        <v>660</v>
      </c>
      <c r="U127" s="5">
        <v>860</v>
      </c>
      <c r="V127" s="5">
        <f t="shared" si="6"/>
        <v>16.5</v>
      </c>
      <c r="W127" s="5" t="s">
        <v>10</v>
      </c>
      <c r="X127" s="5">
        <v>62</v>
      </c>
      <c r="Y127" s="5">
        <v>1510</v>
      </c>
      <c r="Z127" s="5">
        <v>247</v>
      </c>
      <c r="AA127" s="5" t="s">
        <v>68</v>
      </c>
      <c r="AB127" s="5"/>
      <c r="AC127" s="5"/>
      <c r="AD127" s="5" t="s">
        <v>76</v>
      </c>
      <c r="AE127" s="5"/>
      <c r="AF127" s="5" t="s">
        <v>68</v>
      </c>
      <c r="AG127" s="5" t="s">
        <v>68</v>
      </c>
      <c r="AH127" s="12" t="s">
        <v>48</v>
      </c>
      <c r="AI127" s="12"/>
      <c r="AJ127" s="12"/>
      <c r="AK127" s="12"/>
      <c r="AL127" s="12"/>
      <c r="AM127" s="12"/>
      <c r="AN127" s="12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</row>
    <row r="128" spans="1:240" s="2" customFormat="1" ht="30" customHeight="1">
      <c r="A128" s="5">
        <v>126</v>
      </c>
      <c r="B128" s="5" t="s">
        <v>68</v>
      </c>
      <c r="C128" s="5"/>
      <c r="D128" s="5"/>
      <c r="E128" s="5">
        <v>6870</v>
      </c>
      <c r="F128" s="5">
        <v>2230</v>
      </c>
      <c r="G128" s="5">
        <v>2210</v>
      </c>
      <c r="H128" s="5">
        <v>1965</v>
      </c>
      <c r="I128" s="5" t="s">
        <v>13</v>
      </c>
      <c r="J128" s="5">
        <v>113.8</v>
      </c>
      <c r="K128" s="10">
        <v>5</v>
      </c>
      <c r="L128" s="11">
        <v>654.29999999999995</v>
      </c>
      <c r="M128" s="31">
        <v>10</v>
      </c>
      <c r="N128" s="5">
        <v>39</v>
      </c>
      <c r="O128" s="5">
        <v>214003</v>
      </c>
      <c r="P128" s="5" t="s">
        <v>48</v>
      </c>
      <c r="Q128" s="5"/>
      <c r="R128" s="5">
        <v>10</v>
      </c>
      <c r="S128" s="5">
        <v>910</v>
      </c>
      <c r="T128" s="5">
        <v>660</v>
      </c>
      <c r="U128" s="5">
        <v>860</v>
      </c>
      <c r="V128" s="5">
        <f t="shared" si="6"/>
        <v>16.5</v>
      </c>
      <c r="W128" s="5" t="s">
        <v>10</v>
      </c>
      <c r="X128" s="5">
        <v>62</v>
      </c>
      <c r="Y128" s="5">
        <v>2265</v>
      </c>
      <c r="Z128" s="5">
        <v>370.5</v>
      </c>
      <c r="AA128" s="5" t="s">
        <v>68</v>
      </c>
      <c r="AB128" s="5"/>
      <c r="AC128" s="5"/>
      <c r="AD128" s="5" t="s">
        <v>76</v>
      </c>
      <c r="AE128" s="5"/>
      <c r="AF128" s="5" t="s">
        <v>68</v>
      </c>
      <c r="AG128" s="5" t="s">
        <v>68</v>
      </c>
      <c r="AH128" s="12" t="s">
        <v>48</v>
      </c>
      <c r="AI128" s="12"/>
      <c r="AJ128" s="12"/>
      <c r="AK128" s="12"/>
      <c r="AL128" s="12"/>
      <c r="AM128" s="12"/>
      <c r="AN128" s="12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</row>
    <row r="129" spans="1:240" s="2" customFormat="1" ht="30" customHeight="1">
      <c r="A129" s="5">
        <v>127</v>
      </c>
      <c r="B129" s="5" t="s">
        <v>68</v>
      </c>
      <c r="C129" s="5"/>
      <c r="D129" s="5"/>
      <c r="E129" s="5">
        <v>6870</v>
      </c>
      <c r="F129" s="5">
        <v>2230</v>
      </c>
      <c r="G129" s="5">
        <v>2210</v>
      </c>
      <c r="H129" s="5">
        <v>2257</v>
      </c>
      <c r="I129" s="5" t="s">
        <v>13</v>
      </c>
      <c r="J129" s="5">
        <v>127.5</v>
      </c>
      <c r="K129" s="10">
        <v>5</v>
      </c>
      <c r="L129" s="11">
        <v>732.9</v>
      </c>
      <c r="M129" s="31">
        <v>10</v>
      </c>
      <c r="N129" s="5">
        <v>28.5</v>
      </c>
      <c r="O129" s="5">
        <v>205736</v>
      </c>
      <c r="P129" s="5" t="s">
        <v>48</v>
      </c>
      <c r="Q129" s="5"/>
      <c r="R129" s="5">
        <v>10</v>
      </c>
      <c r="S129" s="5">
        <v>910</v>
      </c>
      <c r="T129" s="5">
        <v>660</v>
      </c>
      <c r="U129" s="5">
        <v>860</v>
      </c>
      <c r="V129" s="5">
        <f t="shared" si="6"/>
        <v>16.5</v>
      </c>
      <c r="W129" s="5" t="s">
        <v>10</v>
      </c>
      <c r="X129" s="5">
        <v>62</v>
      </c>
      <c r="Y129" s="5">
        <v>3020</v>
      </c>
      <c r="Z129" s="5">
        <v>494</v>
      </c>
      <c r="AA129" s="5" t="s">
        <v>68</v>
      </c>
      <c r="AB129" s="5"/>
      <c r="AC129" s="5"/>
      <c r="AD129" s="5" t="s">
        <v>76</v>
      </c>
      <c r="AE129" s="5"/>
      <c r="AF129" s="5" t="s">
        <v>68</v>
      </c>
      <c r="AG129" s="5" t="s">
        <v>68</v>
      </c>
      <c r="AH129" s="12" t="s">
        <v>48</v>
      </c>
      <c r="AI129" s="12"/>
      <c r="AJ129" s="12"/>
      <c r="AK129" s="12"/>
      <c r="AL129" s="12"/>
      <c r="AM129" s="12"/>
      <c r="AN129" s="12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</row>
    <row r="130" spans="1:240" s="2" customFormat="1" ht="30" customHeight="1">
      <c r="A130" s="5">
        <v>128</v>
      </c>
      <c r="B130" s="5" t="s">
        <v>68</v>
      </c>
      <c r="C130" s="5"/>
      <c r="D130" s="5"/>
      <c r="E130" s="5">
        <v>8190</v>
      </c>
      <c r="F130" s="5">
        <v>2230</v>
      </c>
      <c r="G130" s="5">
        <v>2210</v>
      </c>
      <c r="H130" s="5">
        <v>1912</v>
      </c>
      <c r="I130" s="5" t="s">
        <v>13</v>
      </c>
      <c r="J130" s="5">
        <v>107.4</v>
      </c>
      <c r="K130" s="10">
        <v>5</v>
      </c>
      <c r="L130" s="11">
        <v>617.29999999999995</v>
      </c>
      <c r="M130" s="31">
        <v>10</v>
      </c>
      <c r="N130" s="5">
        <v>27.8</v>
      </c>
      <c r="O130" s="5">
        <v>266872</v>
      </c>
      <c r="P130" s="5" t="s">
        <v>48</v>
      </c>
      <c r="Q130" s="5"/>
      <c r="R130" s="5">
        <v>12</v>
      </c>
      <c r="S130" s="5">
        <v>910</v>
      </c>
      <c r="T130" s="5">
        <v>660</v>
      </c>
      <c r="U130" s="5">
        <v>860</v>
      </c>
      <c r="V130" s="5">
        <f t="shared" si="6"/>
        <v>19.799999999999997</v>
      </c>
      <c r="W130" s="5" t="s">
        <v>10</v>
      </c>
      <c r="X130" s="5">
        <v>63</v>
      </c>
      <c r="Y130" s="5">
        <v>1814.3</v>
      </c>
      <c r="Z130" s="5">
        <v>296.8</v>
      </c>
      <c r="AA130" s="5" t="s">
        <v>68</v>
      </c>
      <c r="AB130" s="5"/>
      <c r="AC130" s="5"/>
      <c r="AD130" s="5" t="s">
        <v>76</v>
      </c>
      <c r="AE130" s="5"/>
      <c r="AF130" s="5" t="s">
        <v>68</v>
      </c>
      <c r="AG130" s="5" t="s">
        <v>68</v>
      </c>
      <c r="AH130" s="12" t="s">
        <v>48</v>
      </c>
      <c r="AI130" s="12"/>
      <c r="AJ130" s="12"/>
      <c r="AK130" s="12"/>
      <c r="AL130" s="12"/>
      <c r="AM130" s="12"/>
      <c r="AN130" s="12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</row>
    <row r="131" spans="1:240" s="2" customFormat="1" ht="30" customHeight="1">
      <c r="A131" s="5">
        <v>129</v>
      </c>
      <c r="B131" s="5" t="s">
        <v>68</v>
      </c>
      <c r="C131" s="5"/>
      <c r="D131" s="5"/>
      <c r="E131" s="5">
        <v>8190</v>
      </c>
      <c r="F131" s="5">
        <v>2230</v>
      </c>
      <c r="G131" s="5">
        <v>2210</v>
      </c>
      <c r="H131" s="5">
        <v>2230</v>
      </c>
      <c r="I131" s="5" t="s">
        <v>13</v>
      </c>
      <c r="J131" s="5">
        <v>136.6</v>
      </c>
      <c r="K131" s="10">
        <v>5</v>
      </c>
      <c r="L131" s="11">
        <v>785.2</v>
      </c>
      <c r="M131" s="31">
        <v>10</v>
      </c>
      <c r="N131" s="5">
        <v>38</v>
      </c>
      <c r="O131" s="5">
        <v>256869</v>
      </c>
      <c r="P131" s="5" t="s">
        <v>48</v>
      </c>
      <c r="Q131" s="5"/>
      <c r="R131" s="5">
        <v>12</v>
      </c>
      <c r="S131" s="5">
        <v>910</v>
      </c>
      <c r="T131" s="5">
        <v>660</v>
      </c>
      <c r="U131" s="5">
        <v>860</v>
      </c>
      <c r="V131" s="5">
        <f t="shared" si="6"/>
        <v>19.799999999999997</v>
      </c>
      <c r="W131" s="5" t="s">
        <v>10</v>
      </c>
      <c r="X131" s="5">
        <v>63</v>
      </c>
      <c r="Y131" s="5">
        <v>2721.6</v>
      </c>
      <c r="Z131" s="5">
        <v>445.2</v>
      </c>
      <c r="AA131" s="5" t="s">
        <v>68</v>
      </c>
      <c r="AB131" s="5"/>
      <c r="AC131" s="5"/>
      <c r="AD131" s="5" t="s">
        <v>76</v>
      </c>
      <c r="AE131" s="5"/>
      <c r="AF131" s="5" t="s">
        <v>68</v>
      </c>
      <c r="AG131" s="5" t="s">
        <v>68</v>
      </c>
      <c r="AH131" s="12" t="s">
        <v>48</v>
      </c>
      <c r="AI131" s="12"/>
      <c r="AJ131" s="12"/>
      <c r="AK131" s="12"/>
      <c r="AL131" s="12"/>
      <c r="AM131" s="12"/>
      <c r="AN131" s="12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</row>
    <row r="132" spans="1:240" s="2" customFormat="1" ht="30" customHeight="1">
      <c r="A132" s="5">
        <v>130</v>
      </c>
      <c r="B132" s="5" t="s">
        <v>68</v>
      </c>
      <c r="C132" s="5"/>
      <c r="D132" s="5"/>
      <c r="E132" s="5">
        <v>8190</v>
      </c>
      <c r="F132" s="5">
        <v>2230</v>
      </c>
      <c r="G132" s="5">
        <v>2210</v>
      </c>
      <c r="H132" s="5">
        <v>2655</v>
      </c>
      <c r="I132" s="5" t="s">
        <v>13</v>
      </c>
      <c r="J132" s="5">
        <v>153.5</v>
      </c>
      <c r="K132" s="10">
        <v>5</v>
      </c>
      <c r="L132" s="11">
        <v>882.4</v>
      </c>
      <c r="M132" s="31">
        <v>10</v>
      </c>
      <c r="N132" s="5">
        <v>31.8</v>
      </c>
      <c r="O132" s="5">
        <v>246967</v>
      </c>
      <c r="P132" s="5" t="s">
        <v>48</v>
      </c>
      <c r="Q132" s="5"/>
      <c r="R132" s="5">
        <v>12</v>
      </c>
      <c r="S132" s="5">
        <v>910</v>
      </c>
      <c r="T132" s="5">
        <v>660</v>
      </c>
      <c r="U132" s="5">
        <v>860</v>
      </c>
      <c r="V132" s="5">
        <f t="shared" si="6"/>
        <v>19.799999999999997</v>
      </c>
      <c r="W132" s="5" t="s">
        <v>10</v>
      </c>
      <c r="X132" s="5">
        <v>63</v>
      </c>
      <c r="Y132" s="5">
        <v>3628.73</v>
      </c>
      <c r="Z132" s="5">
        <v>593.5</v>
      </c>
      <c r="AA132" s="5" t="s">
        <v>68</v>
      </c>
      <c r="AB132" s="5"/>
      <c r="AC132" s="5"/>
      <c r="AD132" s="5" t="s">
        <v>76</v>
      </c>
      <c r="AE132" s="5"/>
      <c r="AF132" s="5" t="s">
        <v>68</v>
      </c>
      <c r="AG132" s="5" t="s">
        <v>68</v>
      </c>
      <c r="AH132" s="12" t="s">
        <v>48</v>
      </c>
      <c r="AI132" s="12"/>
      <c r="AJ132" s="12"/>
      <c r="AK132" s="12"/>
      <c r="AL132" s="12"/>
      <c r="AM132" s="12"/>
      <c r="AN132" s="12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</row>
    <row r="133" spans="1:240" s="2" customFormat="1" ht="30" customHeight="1">
      <c r="A133" s="5">
        <v>131</v>
      </c>
      <c r="B133" s="5" t="s">
        <v>68</v>
      </c>
      <c r="C133" s="5"/>
      <c r="D133" s="5"/>
      <c r="E133" s="5">
        <v>9490</v>
      </c>
      <c r="F133" s="5">
        <v>2230</v>
      </c>
      <c r="G133" s="5">
        <v>2210</v>
      </c>
      <c r="H133" s="5">
        <v>2443</v>
      </c>
      <c r="I133" s="5" t="s">
        <v>13</v>
      </c>
      <c r="J133" s="5">
        <v>126.8</v>
      </c>
      <c r="K133" s="10">
        <v>5</v>
      </c>
      <c r="L133" s="11">
        <v>729</v>
      </c>
      <c r="M133" s="31">
        <v>10</v>
      </c>
      <c r="N133" s="5">
        <v>43.4</v>
      </c>
      <c r="O133" s="5">
        <v>311386</v>
      </c>
      <c r="P133" s="5" t="s">
        <v>48</v>
      </c>
      <c r="Q133" s="5"/>
      <c r="R133" s="5">
        <v>14</v>
      </c>
      <c r="S133" s="5">
        <v>910</v>
      </c>
      <c r="T133" s="5">
        <v>660</v>
      </c>
      <c r="U133" s="5">
        <v>860</v>
      </c>
      <c r="V133" s="5">
        <f t="shared" si="6"/>
        <v>23.099999999999998</v>
      </c>
      <c r="W133" s="5" t="s">
        <v>10</v>
      </c>
      <c r="X133" s="5">
        <v>63</v>
      </c>
      <c r="Y133" s="5">
        <v>2118.6999999999998</v>
      </c>
      <c r="Z133" s="5">
        <v>346.5</v>
      </c>
      <c r="AA133" s="5" t="s">
        <v>68</v>
      </c>
      <c r="AB133" s="5"/>
      <c r="AC133" s="5"/>
      <c r="AD133" s="5" t="s">
        <v>76</v>
      </c>
      <c r="AE133" s="5"/>
      <c r="AF133" s="5" t="s">
        <v>68</v>
      </c>
      <c r="AG133" s="5" t="s">
        <v>68</v>
      </c>
      <c r="AH133" s="12" t="s">
        <v>48</v>
      </c>
      <c r="AI133" s="12"/>
      <c r="AJ133" s="12"/>
      <c r="AK133" s="12"/>
      <c r="AL133" s="12"/>
      <c r="AM133" s="12"/>
      <c r="AN133" s="12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</row>
    <row r="134" spans="1:240" s="2" customFormat="1" ht="30" customHeight="1">
      <c r="A134" s="5">
        <v>132</v>
      </c>
      <c r="B134" s="5" t="s">
        <v>68</v>
      </c>
      <c r="C134" s="5"/>
      <c r="D134" s="5"/>
      <c r="E134" s="5">
        <v>9490</v>
      </c>
      <c r="F134" s="5">
        <v>2230</v>
      </c>
      <c r="G134" s="5">
        <v>2210</v>
      </c>
      <c r="H134" s="5">
        <v>2761</v>
      </c>
      <c r="I134" s="5" t="s">
        <v>13</v>
      </c>
      <c r="J134" s="5">
        <v>158.6</v>
      </c>
      <c r="K134" s="10">
        <v>5</v>
      </c>
      <c r="L134" s="11">
        <v>911.9</v>
      </c>
      <c r="M134" s="31">
        <v>10</v>
      </c>
      <c r="N134" s="5">
        <v>31.4</v>
      </c>
      <c r="O134" s="5">
        <v>299735</v>
      </c>
      <c r="P134" s="5" t="s">
        <v>48</v>
      </c>
      <c r="Q134" s="5"/>
      <c r="R134" s="5">
        <v>14</v>
      </c>
      <c r="S134" s="5">
        <v>910</v>
      </c>
      <c r="T134" s="5">
        <v>660</v>
      </c>
      <c r="U134" s="5">
        <v>860</v>
      </c>
      <c r="V134" s="5">
        <f t="shared" si="6"/>
        <v>23.099999999999998</v>
      </c>
      <c r="W134" s="5" t="s">
        <v>10</v>
      </c>
      <c r="X134" s="5">
        <v>63</v>
      </c>
      <c r="Y134" s="5">
        <v>3178</v>
      </c>
      <c r="Z134" s="5">
        <v>519.9</v>
      </c>
      <c r="AA134" s="5" t="s">
        <v>68</v>
      </c>
      <c r="AB134" s="5"/>
      <c r="AC134" s="5"/>
      <c r="AD134" s="5" t="s">
        <v>76</v>
      </c>
      <c r="AE134" s="5"/>
      <c r="AF134" s="5" t="s">
        <v>68</v>
      </c>
      <c r="AG134" s="5" t="s">
        <v>68</v>
      </c>
      <c r="AH134" s="12" t="s">
        <v>48</v>
      </c>
      <c r="AI134" s="12"/>
      <c r="AJ134" s="12"/>
      <c r="AK134" s="12"/>
      <c r="AL134" s="12"/>
      <c r="AM134" s="12"/>
      <c r="AN134" s="12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</row>
    <row r="135" spans="1:240" s="2" customFormat="1" ht="30" customHeight="1">
      <c r="A135" s="5">
        <v>133</v>
      </c>
      <c r="B135" s="5" t="s">
        <v>68</v>
      </c>
      <c r="C135" s="5"/>
      <c r="D135" s="5"/>
      <c r="E135" s="5">
        <v>9490</v>
      </c>
      <c r="F135" s="5">
        <v>2230</v>
      </c>
      <c r="G135" s="5">
        <v>2210</v>
      </c>
      <c r="H135" s="5">
        <v>3175</v>
      </c>
      <c r="I135" s="5" t="s">
        <v>13</v>
      </c>
      <c r="J135" s="5">
        <v>180.5</v>
      </c>
      <c r="K135" s="10">
        <v>5</v>
      </c>
      <c r="L135" s="11">
        <v>1037.9000000000001</v>
      </c>
      <c r="M135" s="31">
        <v>10</v>
      </c>
      <c r="N135" s="5">
        <v>49.2</v>
      </c>
      <c r="O135" s="5">
        <v>288198</v>
      </c>
      <c r="P135" s="5" t="s">
        <v>48</v>
      </c>
      <c r="Q135" s="5"/>
      <c r="R135" s="5">
        <v>14</v>
      </c>
      <c r="S135" s="5">
        <v>910</v>
      </c>
      <c r="T135" s="5">
        <v>660</v>
      </c>
      <c r="U135" s="5">
        <v>860</v>
      </c>
      <c r="V135" s="5">
        <f t="shared" si="6"/>
        <v>23.099999999999998</v>
      </c>
      <c r="W135" s="5" t="s">
        <v>10</v>
      </c>
      <c r="X135" s="5">
        <v>63</v>
      </c>
      <c r="Y135" s="5">
        <v>4237.3999999999996</v>
      </c>
      <c r="Z135" s="5">
        <v>693.1</v>
      </c>
      <c r="AA135" s="5" t="s">
        <v>68</v>
      </c>
      <c r="AB135" s="5"/>
      <c r="AC135" s="5"/>
      <c r="AD135" s="5" t="s">
        <v>76</v>
      </c>
      <c r="AE135" s="5"/>
      <c r="AF135" s="5" t="s">
        <v>68</v>
      </c>
      <c r="AG135" s="5" t="s">
        <v>68</v>
      </c>
      <c r="AH135" s="12" t="s">
        <v>48</v>
      </c>
      <c r="AI135" s="12"/>
      <c r="AJ135" s="12"/>
      <c r="AK135" s="12"/>
      <c r="AL135" s="12"/>
      <c r="AM135" s="12"/>
      <c r="AN135" s="12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</row>
    <row r="136" spans="1:240" s="2" customFormat="1" ht="30" customHeight="1">
      <c r="A136" s="5">
        <v>134</v>
      </c>
      <c r="B136" s="5" t="s">
        <v>68</v>
      </c>
      <c r="C136" s="5"/>
      <c r="D136" s="5"/>
      <c r="E136" s="5">
        <v>10800</v>
      </c>
      <c r="F136" s="5">
        <v>2230</v>
      </c>
      <c r="G136" s="5">
        <v>2210</v>
      </c>
      <c r="H136" s="5">
        <v>2867</v>
      </c>
      <c r="I136" s="5" t="s">
        <v>13</v>
      </c>
      <c r="J136" s="5">
        <v>146.19999999999999</v>
      </c>
      <c r="K136" s="10">
        <v>5</v>
      </c>
      <c r="L136" s="11">
        <v>840.9</v>
      </c>
      <c r="M136" s="31">
        <v>10</v>
      </c>
      <c r="N136" s="5">
        <v>63.6</v>
      </c>
      <c r="O136" s="5">
        <v>355900</v>
      </c>
      <c r="P136" s="5" t="s">
        <v>48</v>
      </c>
      <c r="Q136" s="5"/>
      <c r="R136" s="5">
        <v>16</v>
      </c>
      <c r="S136" s="5">
        <v>910</v>
      </c>
      <c r="T136" s="5">
        <v>660</v>
      </c>
      <c r="U136" s="5">
        <v>860</v>
      </c>
      <c r="V136" s="5">
        <f t="shared" si="6"/>
        <v>26.4</v>
      </c>
      <c r="W136" s="5" t="s">
        <v>10</v>
      </c>
      <c r="X136" s="5">
        <v>64</v>
      </c>
      <c r="Y136" s="5">
        <v>2423</v>
      </c>
      <c r="Z136" s="5">
        <v>396.4</v>
      </c>
      <c r="AA136" s="5" t="s">
        <v>68</v>
      </c>
      <c r="AB136" s="5"/>
      <c r="AC136" s="5"/>
      <c r="AD136" s="5" t="s">
        <v>76</v>
      </c>
      <c r="AE136" s="5"/>
      <c r="AF136" s="5" t="s">
        <v>68</v>
      </c>
      <c r="AG136" s="5" t="s">
        <v>68</v>
      </c>
      <c r="AH136" s="12" t="s">
        <v>48</v>
      </c>
      <c r="AI136" s="12"/>
      <c r="AJ136" s="12"/>
      <c r="AK136" s="12"/>
      <c r="AL136" s="12"/>
      <c r="AM136" s="12"/>
      <c r="AN136" s="12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</row>
    <row r="137" spans="1:240" s="2" customFormat="1" ht="30" customHeight="1">
      <c r="A137" s="5">
        <v>135</v>
      </c>
      <c r="B137" s="5" t="s">
        <v>68</v>
      </c>
      <c r="C137" s="5"/>
      <c r="D137" s="5"/>
      <c r="E137" s="5">
        <v>10800</v>
      </c>
      <c r="F137" s="5">
        <v>2230</v>
      </c>
      <c r="G137" s="5">
        <v>2210</v>
      </c>
      <c r="H137" s="5">
        <v>3165</v>
      </c>
      <c r="I137" s="5" t="s">
        <v>13</v>
      </c>
      <c r="J137" s="5">
        <v>183</v>
      </c>
      <c r="K137" s="10">
        <v>5</v>
      </c>
      <c r="L137" s="11">
        <v>1052.2</v>
      </c>
      <c r="M137" s="31">
        <v>10</v>
      </c>
      <c r="N137" s="5">
        <v>46.4</v>
      </c>
      <c r="O137" s="5">
        <v>342601</v>
      </c>
      <c r="P137" s="5" t="s">
        <v>48</v>
      </c>
      <c r="Q137" s="5"/>
      <c r="R137" s="5">
        <v>16</v>
      </c>
      <c r="S137" s="5">
        <v>910</v>
      </c>
      <c r="T137" s="5">
        <v>660</v>
      </c>
      <c r="U137" s="5">
        <v>860</v>
      </c>
      <c r="V137" s="5">
        <f t="shared" si="6"/>
        <v>26.4</v>
      </c>
      <c r="W137" s="5" t="s">
        <v>10</v>
      </c>
      <c r="X137" s="5">
        <v>64</v>
      </c>
      <c r="Y137" s="5">
        <v>3634.5</v>
      </c>
      <c r="Z137" s="5">
        <v>594.6</v>
      </c>
      <c r="AA137" s="5" t="s">
        <v>68</v>
      </c>
      <c r="AB137" s="5"/>
      <c r="AC137" s="5"/>
      <c r="AD137" s="5" t="s">
        <v>76</v>
      </c>
      <c r="AE137" s="5"/>
      <c r="AF137" s="5" t="s">
        <v>68</v>
      </c>
      <c r="AG137" s="5" t="s">
        <v>68</v>
      </c>
      <c r="AH137" s="12" t="s">
        <v>48</v>
      </c>
      <c r="AI137" s="12"/>
      <c r="AJ137" s="12"/>
      <c r="AK137" s="12"/>
      <c r="AL137" s="12"/>
      <c r="AM137" s="12"/>
      <c r="AN137" s="12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</row>
    <row r="138" spans="1:240" s="2" customFormat="1" ht="30" customHeight="1">
      <c r="A138" s="5">
        <v>136</v>
      </c>
      <c r="B138" s="5" t="s">
        <v>68</v>
      </c>
      <c r="C138" s="5"/>
      <c r="D138" s="5"/>
      <c r="E138" s="5">
        <v>10800</v>
      </c>
      <c r="F138" s="5">
        <v>2230</v>
      </c>
      <c r="G138" s="5">
        <v>2210</v>
      </c>
      <c r="H138" s="5">
        <v>3590</v>
      </c>
      <c r="I138" s="5" t="s">
        <v>13</v>
      </c>
      <c r="J138" s="5">
        <v>205.1</v>
      </c>
      <c r="K138" s="10">
        <v>5</v>
      </c>
      <c r="L138" s="11">
        <v>1179</v>
      </c>
      <c r="M138" s="31">
        <v>10</v>
      </c>
      <c r="N138" s="5">
        <v>34.200000000000003</v>
      </c>
      <c r="O138" s="5">
        <v>329429</v>
      </c>
      <c r="P138" s="5" t="s">
        <v>48</v>
      </c>
      <c r="Q138" s="5"/>
      <c r="R138" s="5">
        <v>16</v>
      </c>
      <c r="S138" s="5">
        <v>910</v>
      </c>
      <c r="T138" s="5">
        <v>660</v>
      </c>
      <c r="U138" s="5">
        <v>860</v>
      </c>
      <c r="V138" s="5">
        <f t="shared" si="6"/>
        <v>26.4</v>
      </c>
      <c r="W138" s="5" t="s">
        <v>10</v>
      </c>
      <c r="X138" s="5">
        <v>64</v>
      </c>
      <c r="Y138" s="5">
        <v>4846</v>
      </c>
      <c r="Z138" s="5">
        <v>792.8</v>
      </c>
      <c r="AA138" s="5" t="s">
        <v>68</v>
      </c>
      <c r="AB138" s="5"/>
      <c r="AC138" s="5"/>
      <c r="AD138" s="5" t="s">
        <v>76</v>
      </c>
      <c r="AE138" s="5"/>
      <c r="AF138" s="5" t="s">
        <v>68</v>
      </c>
      <c r="AG138" s="5" t="s">
        <v>68</v>
      </c>
      <c r="AH138" s="12" t="s">
        <v>48</v>
      </c>
      <c r="AI138" s="12"/>
      <c r="AJ138" s="12"/>
      <c r="AK138" s="12"/>
      <c r="AL138" s="12"/>
      <c r="AM138" s="12"/>
      <c r="AN138" s="12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</row>
    <row r="139" spans="1:240" s="2" customFormat="1" ht="30" customHeight="1">
      <c r="A139" s="5">
        <v>137</v>
      </c>
      <c r="B139" s="5" t="s">
        <v>68</v>
      </c>
      <c r="C139" s="5"/>
      <c r="D139" s="5"/>
      <c r="E139" s="5">
        <v>2940</v>
      </c>
      <c r="F139" s="5">
        <v>2230</v>
      </c>
      <c r="G139" s="5">
        <v>2210</v>
      </c>
      <c r="H139" s="5">
        <v>690</v>
      </c>
      <c r="I139" s="5" t="s">
        <v>13</v>
      </c>
      <c r="J139" s="5">
        <v>29.1</v>
      </c>
      <c r="K139" s="10">
        <v>5</v>
      </c>
      <c r="L139" s="11">
        <v>167.3</v>
      </c>
      <c r="M139" s="31">
        <v>10</v>
      </c>
      <c r="N139" s="5">
        <v>6</v>
      </c>
      <c r="O139" s="5">
        <v>66534</v>
      </c>
      <c r="P139" s="5" t="s">
        <v>48</v>
      </c>
      <c r="Q139" s="5"/>
      <c r="R139" s="5">
        <v>4</v>
      </c>
      <c r="S139" s="5">
        <v>1000</v>
      </c>
      <c r="T139" s="5">
        <v>250</v>
      </c>
      <c r="U139" s="5">
        <v>380</v>
      </c>
      <c r="V139" s="5">
        <f t="shared" ref="V139:V159" si="7">0.67*R139</f>
        <v>2.68</v>
      </c>
      <c r="W139" s="5" t="s">
        <v>10</v>
      </c>
      <c r="X139" s="5">
        <v>43</v>
      </c>
      <c r="Y139" s="5">
        <v>597.5</v>
      </c>
      <c r="Z139" s="5">
        <v>97.6</v>
      </c>
      <c r="AA139" s="5" t="s">
        <v>68</v>
      </c>
      <c r="AB139" s="5"/>
      <c r="AC139" s="5"/>
      <c r="AD139" s="5" t="s">
        <v>76</v>
      </c>
      <c r="AE139" s="5"/>
      <c r="AF139" s="5" t="s">
        <v>68</v>
      </c>
      <c r="AG139" s="5" t="s">
        <v>68</v>
      </c>
      <c r="AH139" s="12" t="s">
        <v>48</v>
      </c>
      <c r="AI139" s="12"/>
      <c r="AJ139" s="12"/>
      <c r="AK139" s="12"/>
      <c r="AL139" s="12"/>
      <c r="AM139" s="12"/>
      <c r="AN139" s="12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</row>
    <row r="140" spans="1:240" s="2" customFormat="1" ht="30" customHeight="1">
      <c r="A140" s="5">
        <v>138</v>
      </c>
      <c r="B140" s="5" t="s">
        <v>68</v>
      </c>
      <c r="C140" s="5"/>
      <c r="D140" s="5"/>
      <c r="E140" s="5">
        <v>2940</v>
      </c>
      <c r="F140" s="5">
        <v>2230</v>
      </c>
      <c r="G140" s="5">
        <v>2210</v>
      </c>
      <c r="H140" s="5">
        <v>797</v>
      </c>
      <c r="I140" s="5" t="s">
        <v>13</v>
      </c>
      <c r="J140" s="5">
        <v>34.299999999999997</v>
      </c>
      <c r="K140" s="10">
        <v>5</v>
      </c>
      <c r="L140" s="11">
        <v>197</v>
      </c>
      <c r="M140" s="31">
        <v>10</v>
      </c>
      <c r="N140" s="5">
        <v>4.8</v>
      </c>
      <c r="O140" s="5">
        <v>59890</v>
      </c>
      <c r="P140" s="5" t="s">
        <v>48</v>
      </c>
      <c r="Q140" s="5"/>
      <c r="R140" s="5">
        <v>4</v>
      </c>
      <c r="S140" s="5">
        <v>1000</v>
      </c>
      <c r="T140" s="5">
        <v>250</v>
      </c>
      <c r="U140" s="5">
        <v>380</v>
      </c>
      <c r="V140" s="5">
        <f t="shared" si="7"/>
        <v>2.68</v>
      </c>
      <c r="W140" s="5" t="s">
        <v>10</v>
      </c>
      <c r="X140" s="5">
        <v>43</v>
      </c>
      <c r="Y140" s="5">
        <v>895.5</v>
      </c>
      <c r="Z140" s="5">
        <v>146.6</v>
      </c>
      <c r="AA140" s="5" t="s">
        <v>68</v>
      </c>
      <c r="AB140" s="5"/>
      <c r="AC140" s="5"/>
      <c r="AD140" s="5" t="s">
        <v>76</v>
      </c>
      <c r="AE140" s="5"/>
      <c r="AF140" s="5" t="s">
        <v>68</v>
      </c>
      <c r="AG140" s="5" t="s">
        <v>68</v>
      </c>
      <c r="AH140" s="12" t="s">
        <v>48</v>
      </c>
      <c r="AI140" s="12"/>
      <c r="AJ140" s="12"/>
      <c r="AK140" s="12"/>
      <c r="AL140" s="12"/>
      <c r="AM140" s="12"/>
      <c r="AN140" s="12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</row>
    <row r="141" spans="1:240" s="2" customFormat="1" ht="30" customHeight="1">
      <c r="A141" s="5">
        <v>139</v>
      </c>
      <c r="B141" s="5" t="s">
        <v>68</v>
      </c>
      <c r="C141" s="5"/>
      <c r="D141" s="5"/>
      <c r="E141" s="5">
        <v>2940</v>
      </c>
      <c r="F141" s="5">
        <v>2230</v>
      </c>
      <c r="G141" s="5">
        <v>2210</v>
      </c>
      <c r="H141" s="5">
        <v>913</v>
      </c>
      <c r="I141" s="5" t="s">
        <v>13</v>
      </c>
      <c r="J141" s="5">
        <v>35.799999999999997</v>
      </c>
      <c r="K141" s="10">
        <v>5</v>
      </c>
      <c r="L141" s="11">
        <v>205.7</v>
      </c>
      <c r="M141" s="31">
        <v>10</v>
      </c>
      <c r="N141" s="5">
        <v>3.5</v>
      </c>
      <c r="O141" s="5">
        <v>53830</v>
      </c>
      <c r="P141" s="5" t="s">
        <v>48</v>
      </c>
      <c r="Q141" s="5"/>
      <c r="R141" s="5">
        <v>4</v>
      </c>
      <c r="S141" s="5">
        <v>1000</v>
      </c>
      <c r="T141" s="5">
        <v>250</v>
      </c>
      <c r="U141" s="5">
        <v>380</v>
      </c>
      <c r="V141" s="5">
        <f t="shared" si="7"/>
        <v>2.68</v>
      </c>
      <c r="W141" s="5" t="s">
        <v>10</v>
      </c>
      <c r="X141" s="5">
        <v>43</v>
      </c>
      <c r="Y141" s="5">
        <v>1194.0999999999999</v>
      </c>
      <c r="Z141" s="5">
        <v>195.4</v>
      </c>
      <c r="AA141" s="5" t="s">
        <v>68</v>
      </c>
      <c r="AB141" s="5"/>
      <c r="AC141" s="5"/>
      <c r="AD141" s="5" t="s">
        <v>76</v>
      </c>
      <c r="AE141" s="5"/>
      <c r="AF141" s="5" t="s">
        <v>68</v>
      </c>
      <c r="AG141" s="5" t="s">
        <v>68</v>
      </c>
      <c r="AH141" s="12" t="s">
        <v>48</v>
      </c>
      <c r="AI141" s="12"/>
      <c r="AJ141" s="12"/>
      <c r="AK141" s="12"/>
      <c r="AL141" s="12"/>
      <c r="AM141" s="12"/>
      <c r="AN141" s="12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</row>
    <row r="142" spans="1:240" s="2" customFormat="1" ht="30" customHeight="1">
      <c r="A142" s="5">
        <v>140</v>
      </c>
      <c r="B142" s="5" t="s">
        <v>68</v>
      </c>
      <c r="C142" s="5"/>
      <c r="D142" s="5"/>
      <c r="E142" s="5">
        <v>4250</v>
      </c>
      <c r="F142" s="5">
        <v>2230</v>
      </c>
      <c r="G142" s="5">
        <v>2210</v>
      </c>
      <c r="H142" s="5">
        <v>903</v>
      </c>
      <c r="I142" s="5" t="s">
        <v>13</v>
      </c>
      <c r="J142" s="5">
        <v>45.3</v>
      </c>
      <c r="K142" s="10">
        <v>5</v>
      </c>
      <c r="L142" s="11">
        <v>260.2</v>
      </c>
      <c r="M142" s="31">
        <v>10</v>
      </c>
      <c r="N142" s="5">
        <v>19.2</v>
      </c>
      <c r="O142" s="5">
        <v>100017</v>
      </c>
      <c r="P142" s="5" t="s">
        <v>48</v>
      </c>
      <c r="Q142" s="5"/>
      <c r="R142" s="5">
        <v>6</v>
      </c>
      <c r="S142" s="5">
        <v>1000</v>
      </c>
      <c r="T142" s="5">
        <v>250</v>
      </c>
      <c r="U142" s="5">
        <v>380</v>
      </c>
      <c r="V142" s="5">
        <f t="shared" si="7"/>
        <v>4.0200000000000005</v>
      </c>
      <c r="W142" s="5" t="s">
        <v>10</v>
      </c>
      <c r="X142" s="5">
        <v>45</v>
      </c>
      <c r="Y142" s="5">
        <v>901.3</v>
      </c>
      <c r="Z142" s="5">
        <v>147.5</v>
      </c>
      <c r="AA142" s="5" t="s">
        <v>68</v>
      </c>
      <c r="AB142" s="5"/>
      <c r="AC142" s="5"/>
      <c r="AD142" s="5" t="s">
        <v>76</v>
      </c>
      <c r="AE142" s="5"/>
      <c r="AF142" s="5" t="s">
        <v>68</v>
      </c>
      <c r="AG142" s="5" t="s">
        <v>68</v>
      </c>
      <c r="AH142" s="12" t="s">
        <v>48</v>
      </c>
      <c r="AI142" s="12"/>
      <c r="AJ142" s="12"/>
      <c r="AK142" s="12"/>
      <c r="AL142" s="12"/>
      <c r="AM142" s="12"/>
      <c r="AN142" s="12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</row>
    <row r="143" spans="1:240" s="2" customFormat="1" ht="30" customHeight="1">
      <c r="A143" s="5">
        <v>141</v>
      </c>
      <c r="B143" s="5" t="s">
        <v>68</v>
      </c>
      <c r="C143" s="5"/>
      <c r="D143" s="5"/>
      <c r="E143" s="5">
        <v>4250</v>
      </c>
      <c r="F143" s="5">
        <v>2230</v>
      </c>
      <c r="G143" s="5">
        <v>2210</v>
      </c>
      <c r="H143" s="5">
        <v>1115</v>
      </c>
      <c r="I143" s="5" t="s">
        <v>13</v>
      </c>
      <c r="J143" s="5">
        <v>53.1</v>
      </c>
      <c r="K143" s="10">
        <v>5</v>
      </c>
      <c r="L143" s="11">
        <v>305.2</v>
      </c>
      <c r="M143" s="31">
        <v>10</v>
      </c>
      <c r="N143" s="5">
        <v>14.8</v>
      </c>
      <c r="O143" s="5">
        <v>90155</v>
      </c>
      <c r="P143" s="5" t="s">
        <v>48</v>
      </c>
      <c r="Q143" s="5"/>
      <c r="R143" s="5">
        <v>6</v>
      </c>
      <c r="S143" s="5">
        <v>1000</v>
      </c>
      <c r="T143" s="5">
        <v>250</v>
      </c>
      <c r="U143" s="5">
        <v>380</v>
      </c>
      <c r="V143" s="5">
        <f t="shared" si="7"/>
        <v>4.0200000000000005</v>
      </c>
      <c r="W143" s="5" t="s">
        <v>10</v>
      </c>
      <c r="X143" s="5">
        <v>45</v>
      </c>
      <c r="Y143" s="5">
        <v>1352.1</v>
      </c>
      <c r="Z143" s="5">
        <v>221.1</v>
      </c>
      <c r="AA143" s="5" t="s">
        <v>68</v>
      </c>
      <c r="AB143" s="5"/>
      <c r="AC143" s="5"/>
      <c r="AD143" s="5" t="s">
        <v>76</v>
      </c>
      <c r="AE143" s="5"/>
      <c r="AF143" s="5" t="s">
        <v>68</v>
      </c>
      <c r="AG143" s="5" t="s">
        <v>68</v>
      </c>
      <c r="AH143" s="12" t="s">
        <v>48</v>
      </c>
      <c r="AI143" s="12"/>
      <c r="AJ143" s="12"/>
      <c r="AK143" s="12"/>
      <c r="AL143" s="12"/>
      <c r="AM143" s="12"/>
      <c r="AN143" s="12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</row>
    <row r="144" spans="1:240" s="2" customFormat="1" ht="30" customHeight="1">
      <c r="A144" s="5">
        <v>142</v>
      </c>
      <c r="B144" s="5" t="s">
        <v>68</v>
      </c>
      <c r="C144" s="5"/>
      <c r="D144" s="5"/>
      <c r="E144" s="5">
        <v>4250</v>
      </c>
      <c r="F144" s="5">
        <v>2230</v>
      </c>
      <c r="G144" s="5">
        <v>2210</v>
      </c>
      <c r="H144" s="5">
        <v>1328</v>
      </c>
      <c r="I144" s="5" t="s">
        <v>13</v>
      </c>
      <c r="J144" s="5">
        <v>55.3</v>
      </c>
      <c r="K144" s="10">
        <v>5</v>
      </c>
      <c r="L144" s="11">
        <v>317.89999999999998</v>
      </c>
      <c r="M144" s="31">
        <v>10</v>
      </c>
      <c r="N144" s="5">
        <v>11</v>
      </c>
      <c r="O144" s="5">
        <v>81107</v>
      </c>
      <c r="P144" s="5" t="s">
        <v>48</v>
      </c>
      <c r="Q144" s="5"/>
      <c r="R144" s="5">
        <v>6</v>
      </c>
      <c r="S144" s="5">
        <v>1000</v>
      </c>
      <c r="T144" s="5">
        <v>250</v>
      </c>
      <c r="U144" s="5">
        <v>380</v>
      </c>
      <c r="V144" s="5">
        <f t="shared" si="7"/>
        <v>4.0200000000000005</v>
      </c>
      <c r="W144" s="5" t="s">
        <v>10</v>
      </c>
      <c r="X144" s="5">
        <v>45</v>
      </c>
      <c r="Y144" s="5">
        <v>1802.8</v>
      </c>
      <c r="Z144" s="5">
        <v>294.89999999999998</v>
      </c>
      <c r="AA144" s="5" t="s">
        <v>68</v>
      </c>
      <c r="AB144" s="5"/>
      <c r="AC144" s="5"/>
      <c r="AD144" s="5" t="s">
        <v>76</v>
      </c>
      <c r="AE144" s="5"/>
      <c r="AF144" s="5" t="s">
        <v>68</v>
      </c>
      <c r="AG144" s="5" t="s">
        <v>68</v>
      </c>
      <c r="AH144" s="12" t="s">
        <v>48</v>
      </c>
      <c r="AI144" s="12"/>
      <c r="AJ144" s="12"/>
      <c r="AK144" s="12"/>
      <c r="AL144" s="12"/>
      <c r="AM144" s="12"/>
      <c r="AN144" s="12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</row>
    <row r="145" spans="1:240" s="2" customFormat="1" ht="30" customHeight="1">
      <c r="A145" s="5">
        <v>143</v>
      </c>
      <c r="B145" s="5" t="s">
        <v>68</v>
      </c>
      <c r="C145" s="5"/>
      <c r="D145" s="5"/>
      <c r="E145" s="5">
        <v>5560</v>
      </c>
      <c r="F145" s="5">
        <v>2230</v>
      </c>
      <c r="G145" s="5">
        <v>2210</v>
      </c>
      <c r="H145" s="5">
        <v>1359</v>
      </c>
      <c r="I145" s="5" t="s">
        <v>13</v>
      </c>
      <c r="J145" s="5">
        <v>60.9</v>
      </c>
      <c r="K145" s="10">
        <v>5</v>
      </c>
      <c r="L145" s="11">
        <v>349.9</v>
      </c>
      <c r="M145" s="31">
        <v>10</v>
      </c>
      <c r="N145" s="5">
        <v>43.2</v>
      </c>
      <c r="O145" s="5">
        <v>133495</v>
      </c>
      <c r="P145" s="5" t="s">
        <v>48</v>
      </c>
      <c r="Q145" s="5"/>
      <c r="R145" s="5">
        <v>8</v>
      </c>
      <c r="S145" s="5">
        <v>1000</v>
      </c>
      <c r="T145" s="5">
        <v>250</v>
      </c>
      <c r="U145" s="5">
        <v>380</v>
      </c>
      <c r="V145" s="5">
        <f t="shared" si="7"/>
        <v>5.36</v>
      </c>
      <c r="W145" s="5" t="s">
        <v>10</v>
      </c>
      <c r="X145" s="5">
        <v>46</v>
      </c>
      <c r="Y145" s="5">
        <v>1205.7</v>
      </c>
      <c r="Z145" s="5">
        <v>197.1</v>
      </c>
      <c r="AA145" s="5" t="s">
        <v>68</v>
      </c>
      <c r="AB145" s="5"/>
      <c r="AC145" s="5"/>
      <c r="AD145" s="5" t="s">
        <v>76</v>
      </c>
      <c r="AE145" s="5"/>
      <c r="AF145" s="5" t="s">
        <v>68</v>
      </c>
      <c r="AG145" s="5" t="s">
        <v>68</v>
      </c>
      <c r="AH145" s="12" t="s">
        <v>48</v>
      </c>
      <c r="AI145" s="12"/>
      <c r="AJ145" s="12"/>
      <c r="AK145" s="12"/>
      <c r="AL145" s="12"/>
      <c r="AM145" s="12"/>
      <c r="AN145" s="12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</row>
    <row r="146" spans="1:240" s="2" customFormat="1" ht="30" customHeight="1">
      <c r="A146" s="5">
        <v>144</v>
      </c>
      <c r="B146" s="5" t="s">
        <v>68</v>
      </c>
      <c r="C146" s="5"/>
      <c r="D146" s="5"/>
      <c r="E146" s="5">
        <v>5560</v>
      </c>
      <c r="F146" s="5">
        <v>2230</v>
      </c>
      <c r="G146" s="5">
        <v>2210</v>
      </c>
      <c r="H146" s="5">
        <v>1572</v>
      </c>
      <c r="I146" s="5" t="s">
        <v>13</v>
      </c>
      <c r="J146" s="5">
        <v>71.099999999999994</v>
      </c>
      <c r="K146" s="10">
        <v>5</v>
      </c>
      <c r="L146" s="11">
        <v>408.6</v>
      </c>
      <c r="M146" s="31">
        <v>10</v>
      </c>
      <c r="N146" s="5">
        <v>33.200000000000003</v>
      </c>
      <c r="O146" s="5">
        <v>120418</v>
      </c>
      <c r="P146" s="5" t="s">
        <v>48</v>
      </c>
      <c r="Q146" s="5"/>
      <c r="R146" s="5">
        <v>8</v>
      </c>
      <c r="S146" s="5">
        <v>1000</v>
      </c>
      <c r="T146" s="5">
        <v>250</v>
      </c>
      <c r="U146" s="5">
        <v>380</v>
      </c>
      <c r="V146" s="5">
        <f t="shared" si="7"/>
        <v>5.36</v>
      </c>
      <c r="W146" s="5" t="s">
        <v>10</v>
      </c>
      <c r="X146" s="5">
        <v>46</v>
      </c>
      <c r="Y146" s="5">
        <v>1808.5</v>
      </c>
      <c r="Z146" s="5">
        <v>295.8</v>
      </c>
      <c r="AA146" s="5" t="s">
        <v>68</v>
      </c>
      <c r="AB146" s="5"/>
      <c r="AC146" s="5"/>
      <c r="AD146" s="5" t="s">
        <v>76</v>
      </c>
      <c r="AE146" s="5"/>
      <c r="AF146" s="5" t="s">
        <v>68</v>
      </c>
      <c r="AG146" s="5" t="s">
        <v>68</v>
      </c>
      <c r="AH146" s="12" t="s">
        <v>48</v>
      </c>
      <c r="AI146" s="12"/>
      <c r="AJ146" s="12"/>
      <c r="AK146" s="12"/>
      <c r="AL146" s="12"/>
      <c r="AM146" s="12"/>
      <c r="AN146" s="12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</row>
    <row r="147" spans="1:240" s="2" customFormat="1" ht="30" customHeight="1">
      <c r="A147" s="5">
        <v>145</v>
      </c>
      <c r="B147" s="5" t="s">
        <v>68</v>
      </c>
      <c r="C147" s="5"/>
      <c r="D147" s="5"/>
      <c r="E147" s="5">
        <v>5560</v>
      </c>
      <c r="F147" s="5">
        <v>2230</v>
      </c>
      <c r="G147" s="5">
        <v>2210</v>
      </c>
      <c r="H147" s="5">
        <v>1805</v>
      </c>
      <c r="I147" s="5" t="s">
        <v>13</v>
      </c>
      <c r="J147" s="5">
        <v>74.8</v>
      </c>
      <c r="K147" s="10">
        <v>5</v>
      </c>
      <c r="L147" s="11">
        <v>430.1</v>
      </c>
      <c r="M147" s="31">
        <v>10</v>
      </c>
      <c r="N147" s="5">
        <v>24.7</v>
      </c>
      <c r="O147" s="5">
        <v>108381</v>
      </c>
      <c r="P147" s="5" t="s">
        <v>48</v>
      </c>
      <c r="Q147" s="5"/>
      <c r="R147" s="5">
        <v>8</v>
      </c>
      <c r="S147" s="5">
        <v>1000</v>
      </c>
      <c r="T147" s="5">
        <v>250</v>
      </c>
      <c r="U147" s="5">
        <v>380</v>
      </c>
      <c r="V147" s="5">
        <f t="shared" si="7"/>
        <v>5.36</v>
      </c>
      <c r="W147" s="5" t="s">
        <v>10</v>
      </c>
      <c r="X147" s="5">
        <v>46</v>
      </c>
      <c r="Y147" s="5">
        <v>2411.4</v>
      </c>
      <c r="Z147" s="5">
        <v>394.4</v>
      </c>
      <c r="AA147" s="5" t="s">
        <v>68</v>
      </c>
      <c r="AB147" s="5"/>
      <c r="AC147" s="5"/>
      <c r="AD147" s="5" t="s">
        <v>76</v>
      </c>
      <c r="AE147" s="5"/>
      <c r="AF147" s="5" t="s">
        <v>68</v>
      </c>
      <c r="AG147" s="5" t="s">
        <v>68</v>
      </c>
      <c r="AH147" s="12" t="s">
        <v>48</v>
      </c>
      <c r="AI147" s="12"/>
      <c r="AJ147" s="12"/>
      <c r="AK147" s="12"/>
      <c r="AL147" s="12"/>
      <c r="AM147" s="12"/>
      <c r="AN147" s="12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</row>
    <row r="148" spans="1:240" s="2" customFormat="1" ht="30" customHeight="1">
      <c r="A148" s="5">
        <v>146</v>
      </c>
      <c r="B148" s="5" t="s">
        <v>68</v>
      </c>
      <c r="C148" s="5"/>
      <c r="D148" s="5"/>
      <c r="E148" s="5">
        <v>6870</v>
      </c>
      <c r="F148" s="5">
        <v>2230</v>
      </c>
      <c r="G148" s="5">
        <v>2210</v>
      </c>
      <c r="H148" s="5">
        <v>1699</v>
      </c>
      <c r="I148" s="5" t="s">
        <v>13</v>
      </c>
      <c r="J148" s="5">
        <v>75.8</v>
      </c>
      <c r="K148" s="10">
        <v>5</v>
      </c>
      <c r="L148" s="11">
        <v>436.1</v>
      </c>
      <c r="M148" s="31">
        <v>10</v>
      </c>
      <c r="N148" s="5">
        <v>48.1</v>
      </c>
      <c r="O148" s="5">
        <v>166975</v>
      </c>
      <c r="P148" s="5" t="s">
        <v>48</v>
      </c>
      <c r="Q148" s="5"/>
      <c r="R148" s="5">
        <v>10</v>
      </c>
      <c r="S148" s="5">
        <v>1000</v>
      </c>
      <c r="T148" s="5">
        <v>250</v>
      </c>
      <c r="U148" s="5">
        <v>380</v>
      </c>
      <c r="V148" s="5">
        <f t="shared" si="7"/>
        <v>6.7</v>
      </c>
      <c r="W148" s="5" t="s">
        <v>10</v>
      </c>
      <c r="X148" s="5">
        <v>47</v>
      </c>
      <c r="Y148" s="5">
        <v>1510</v>
      </c>
      <c r="Z148" s="5">
        <v>247</v>
      </c>
      <c r="AA148" s="5" t="s">
        <v>68</v>
      </c>
      <c r="AB148" s="5"/>
      <c r="AC148" s="5"/>
      <c r="AD148" s="5" t="s">
        <v>76</v>
      </c>
      <c r="AE148" s="5"/>
      <c r="AF148" s="5" t="s">
        <v>68</v>
      </c>
      <c r="AG148" s="5" t="s">
        <v>68</v>
      </c>
      <c r="AH148" s="12" t="s">
        <v>48</v>
      </c>
      <c r="AI148" s="12"/>
      <c r="AJ148" s="12"/>
      <c r="AK148" s="12"/>
      <c r="AL148" s="12"/>
      <c r="AM148" s="12"/>
      <c r="AN148" s="12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</row>
    <row r="149" spans="1:240" s="2" customFormat="1" ht="30" customHeight="1">
      <c r="A149" s="5">
        <v>147</v>
      </c>
      <c r="B149" s="5" t="s">
        <v>68</v>
      </c>
      <c r="C149" s="5"/>
      <c r="D149" s="5"/>
      <c r="E149" s="5">
        <v>6870</v>
      </c>
      <c r="F149" s="5">
        <v>2230</v>
      </c>
      <c r="G149" s="5">
        <v>2210</v>
      </c>
      <c r="H149" s="5">
        <v>1965</v>
      </c>
      <c r="I149" s="5" t="s">
        <v>13</v>
      </c>
      <c r="J149" s="5">
        <v>89.9</v>
      </c>
      <c r="K149" s="10">
        <v>5</v>
      </c>
      <c r="L149" s="11">
        <v>517</v>
      </c>
      <c r="M149" s="31">
        <v>10</v>
      </c>
      <c r="N149" s="5">
        <v>30.4</v>
      </c>
      <c r="O149" s="5">
        <v>150680</v>
      </c>
      <c r="P149" s="5" t="s">
        <v>48</v>
      </c>
      <c r="Q149" s="5"/>
      <c r="R149" s="5">
        <v>10</v>
      </c>
      <c r="S149" s="5">
        <v>1000</v>
      </c>
      <c r="T149" s="5">
        <v>250</v>
      </c>
      <c r="U149" s="5">
        <v>380</v>
      </c>
      <c r="V149" s="5">
        <f t="shared" si="7"/>
        <v>6.7</v>
      </c>
      <c r="W149" s="5" t="s">
        <v>10</v>
      </c>
      <c r="X149" s="5">
        <v>47</v>
      </c>
      <c r="Y149" s="5">
        <v>2265</v>
      </c>
      <c r="Z149" s="5">
        <v>370.5</v>
      </c>
      <c r="AA149" s="5" t="s">
        <v>68</v>
      </c>
      <c r="AB149" s="5"/>
      <c r="AC149" s="5"/>
      <c r="AD149" s="5" t="s">
        <v>76</v>
      </c>
      <c r="AE149" s="5"/>
      <c r="AF149" s="5" t="s">
        <v>68</v>
      </c>
      <c r="AG149" s="5" t="s">
        <v>68</v>
      </c>
      <c r="AH149" s="12" t="s">
        <v>48</v>
      </c>
      <c r="AI149" s="12"/>
      <c r="AJ149" s="12"/>
      <c r="AK149" s="12"/>
      <c r="AL149" s="12"/>
      <c r="AM149" s="12"/>
      <c r="AN149" s="12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</row>
    <row r="150" spans="1:240" s="2" customFormat="1" ht="30" customHeight="1">
      <c r="A150" s="5">
        <v>148</v>
      </c>
      <c r="B150" s="5" t="s">
        <v>68</v>
      </c>
      <c r="C150" s="5"/>
      <c r="D150" s="5"/>
      <c r="E150" s="5">
        <v>6870</v>
      </c>
      <c r="F150" s="5">
        <v>2230</v>
      </c>
      <c r="G150" s="5">
        <v>2210</v>
      </c>
      <c r="H150" s="5">
        <v>2257</v>
      </c>
      <c r="I150" s="5" t="s">
        <v>13</v>
      </c>
      <c r="J150" s="5">
        <v>93.4</v>
      </c>
      <c r="K150" s="10">
        <v>5</v>
      </c>
      <c r="L150" s="11">
        <v>537.1</v>
      </c>
      <c r="M150" s="31">
        <v>10</v>
      </c>
      <c r="N150" s="5">
        <v>45.9</v>
      </c>
      <c r="O150" s="5">
        <v>135655</v>
      </c>
      <c r="P150" s="5" t="s">
        <v>48</v>
      </c>
      <c r="Q150" s="5"/>
      <c r="R150" s="5">
        <v>10</v>
      </c>
      <c r="S150" s="5">
        <v>1000</v>
      </c>
      <c r="T150" s="5">
        <v>250</v>
      </c>
      <c r="U150" s="5">
        <v>380</v>
      </c>
      <c r="V150" s="5">
        <f t="shared" si="7"/>
        <v>6.7</v>
      </c>
      <c r="W150" s="5" t="s">
        <v>10</v>
      </c>
      <c r="X150" s="5">
        <v>47</v>
      </c>
      <c r="Y150" s="5">
        <v>3020</v>
      </c>
      <c r="Z150" s="5">
        <v>494</v>
      </c>
      <c r="AA150" s="5" t="s">
        <v>68</v>
      </c>
      <c r="AB150" s="5"/>
      <c r="AC150" s="5"/>
      <c r="AD150" s="5" t="s">
        <v>76</v>
      </c>
      <c r="AE150" s="5"/>
      <c r="AF150" s="5" t="s">
        <v>68</v>
      </c>
      <c r="AG150" s="5" t="s">
        <v>68</v>
      </c>
      <c r="AH150" s="12" t="s">
        <v>48</v>
      </c>
      <c r="AI150" s="12"/>
      <c r="AJ150" s="12"/>
      <c r="AK150" s="12"/>
      <c r="AL150" s="12"/>
      <c r="AM150" s="12"/>
      <c r="AN150" s="12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</row>
    <row r="151" spans="1:240" s="2" customFormat="1" ht="30" customHeight="1">
      <c r="A151" s="5">
        <v>149</v>
      </c>
      <c r="B151" s="5" t="s">
        <v>68</v>
      </c>
      <c r="C151" s="5"/>
      <c r="D151" s="5"/>
      <c r="E151" s="5">
        <v>8190</v>
      </c>
      <c r="F151" s="5">
        <v>2230</v>
      </c>
      <c r="G151" s="5">
        <v>2210</v>
      </c>
      <c r="H151" s="5">
        <v>1912</v>
      </c>
      <c r="I151" s="5" t="s">
        <v>13</v>
      </c>
      <c r="J151" s="5">
        <v>91.1</v>
      </c>
      <c r="K151" s="10">
        <v>5</v>
      </c>
      <c r="L151" s="11">
        <v>524</v>
      </c>
      <c r="M151" s="31">
        <v>10</v>
      </c>
      <c r="N151" s="5">
        <v>35.5</v>
      </c>
      <c r="O151" s="5">
        <v>200453</v>
      </c>
      <c r="P151" s="5" t="s">
        <v>48</v>
      </c>
      <c r="Q151" s="5"/>
      <c r="R151" s="5">
        <v>12</v>
      </c>
      <c r="S151" s="5">
        <v>1000</v>
      </c>
      <c r="T151" s="5">
        <v>250</v>
      </c>
      <c r="U151" s="5">
        <v>380</v>
      </c>
      <c r="V151" s="5">
        <f t="shared" si="7"/>
        <v>8.0400000000000009</v>
      </c>
      <c r="W151" s="5" t="s">
        <v>10</v>
      </c>
      <c r="X151" s="5">
        <v>48</v>
      </c>
      <c r="Y151" s="5">
        <v>1814.3</v>
      </c>
      <c r="Z151" s="5">
        <v>296.8</v>
      </c>
      <c r="AA151" s="5" t="s">
        <v>68</v>
      </c>
      <c r="AB151" s="5"/>
      <c r="AC151" s="5"/>
      <c r="AD151" s="5" t="s">
        <v>76</v>
      </c>
      <c r="AE151" s="5"/>
      <c r="AF151" s="5" t="s">
        <v>68</v>
      </c>
      <c r="AG151" s="5" t="s">
        <v>68</v>
      </c>
      <c r="AH151" s="12" t="s">
        <v>48</v>
      </c>
      <c r="AI151" s="12"/>
      <c r="AJ151" s="12"/>
      <c r="AK151" s="12"/>
      <c r="AL151" s="12"/>
      <c r="AM151" s="12"/>
      <c r="AN151" s="12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</row>
    <row r="152" spans="1:240" s="2" customFormat="1" ht="30" customHeight="1">
      <c r="A152" s="5">
        <v>150</v>
      </c>
      <c r="B152" s="5" t="s">
        <v>68</v>
      </c>
      <c r="C152" s="5"/>
      <c r="D152" s="5"/>
      <c r="E152" s="5">
        <v>8190</v>
      </c>
      <c r="F152" s="5">
        <v>2230</v>
      </c>
      <c r="G152" s="5">
        <v>2210</v>
      </c>
      <c r="H152" s="5">
        <v>2230</v>
      </c>
      <c r="I152" s="5" t="s">
        <v>13</v>
      </c>
      <c r="J152" s="5">
        <v>107.4</v>
      </c>
      <c r="K152" s="10">
        <v>5</v>
      </c>
      <c r="L152" s="11">
        <v>617.79999999999995</v>
      </c>
      <c r="M152" s="31">
        <v>10</v>
      </c>
      <c r="N152" s="5">
        <v>50.7</v>
      </c>
      <c r="O152" s="5">
        <v>180941</v>
      </c>
      <c r="P152" s="5" t="s">
        <v>48</v>
      </c>
      <c r="Q152" s="5"/>
      <c r="R152" s="5">
        <v>12</v>
      </c>
      <c r="S152" s="5">
        <v>1000</v>
      </c>
      <c r="T152" s="5">
        <v>250</v>
      </c>
      <c r="U152" s="5">
        <v>380</v>
      </c>
      <c r="V152" s="5">
        <f t="shared" si="7"/>
        <v>8.0400000000000009</v>
      </c>
      <c r="W152" s="5" t="s">
        <v>10</v>
      </c>
      <c r="X152" s="5">
        <v>48</v>
      </c>
      <c r="Y152" s="5">
        <v>2721.6</v>
      </c>
      <c r="Z152" s="5">
        <v>445.2</v>
      </c>
      <c r="AA152" s="5" t="s">
        <v>68</v>
      </c>
      <c r="AB152" s="5"/>
      <c r="AC152" s="5"/>
      <c r="AD152" s="5" t="s">
        <v>76</v>
      </c>
      <c r="AE152" s="5"/>
      <c r="AF152" s="5" t="s">
        <v>68</v>
      </c>
      <c r="AG152" s="5" t="s">
        <v>68</v>
      </c>
      <c r="AH152" s="12" t="s">
        <v>48</v>
      </c>
      <c r="AI152" s="12"/>
      <c r="AJ152" s="12"/>
      <c r="AK152" s="12"/>
      <c r="AL152" s="12"/>
      <c r="AM152" s="12"/>
      <c r="AN152" s="12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</row>
    <row r="153" spans="1:240" s="2" customFormat="1" ht="30" customHeight="1">
      <c r="A153" s="5">
        <v>151</v>
      </c>
      <c r="B153" s="5" t="s">
        <v>68</v>
      </c>
      <c r="C153" s="5"/>
      <c r="D153" s="5"/>
      <c r="E153" s="5">
        <v>8190</v>
      </c>
      <c r="F153" s="5">
        <v>2230</v>
      </c>
      <c r="G153" s="5">
        <v>2210</v>
      </c>
      <c r="H153" s="5">
        <v>2655</v>
      </c>
      <c r="I153" s="5" t="s">
        <v>13</v>
      </c>
      <c r="J153" s="5">
        <v>111.7</v>
      </c>
      <c r="K153" s="10">
        <v>5</v>
      </c>
      <c r="L153" s="11">
        <v>642.29999999999995</v>
      </c>
      <c r="M153" s="31">
        <v>10</v>
      </c>
      <c r="N153" s="5">
        <v>33.9</v>
      </c>
      <c r="O153" s="5">
        <v>192929</v>
      </c>
      <c r="P153" s="5" t="s">
        <v>48</v>
      </c>
      <c r="Q153" s="5"/>
      <c r="R153" s="5">
        <v>12</v>
      </c>
      <c r="S153" s="5">
        <v>1000</v>
      </c>
      <c r="T153" s="5">
        <v>250</v>
      </c>
      <c r="U153" s="5">
        <v>380</v>
      </c>
      <c r="V153" s="5">
        <f t="shared" si="7"/>
        <v>8.0400000000000009</v>
      </c>
      <c r="W153" s="5" t="s">
        <v>10</v>
      </c>
      <c r="X153" s="5">
        <v>48</v>
      </c>
      <c r="Y153" s="5">
        <v>3628.73</v>
      </c>
      <c r="Z153" s="5">
        <v>593.5</v>
      </c>
      <c r="AA153" s="5" t="s">
        <v>68</v>
      </c>
      <c r="AB153" s="5"/>
      <c r="AC153" s="5"/>
      <c r="AD153" s="5" t="s">
        <v>76</v>
      </c>
      <c r="AE153" s="5"/>
      <c r="AF153" s="5" t="s">
        <v>68</v>
      </c>
      <c r="AG153" s="5" t="s">
        <v>68</v>
      </c>
      <c r="AH153" s="12" t="s">
        <v>48</v>
      </c>
      <c r="AI153" s="12"/>
      <c r="AJ153" s="12"/>
      <c r="AK153" s="12"/>
      <c r="AL153" s="12"/>
      <c r="AM153" s="12"/>
      <c r="AN153" s="12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</row>
    <row r="154" spans="1:240" s="2" customFormat="1" ht="30" customHeight="1">
      <c r="A154" s="5">
        <v>152</v>
      </c>
      <c r="B154" s="5" t="s">
        <v>68</v>
      </c>
      <c r="C154" s="5"/>
      <c r="D154" s="5"/>
      <c r="E154" s="5">
        <v>9490</v>
      </c>
      <c r="F154" s="5">
        <v>2230</v>
      </c>
      <c r="G154" s="5">
        <v>2210</v>
      </c>
      <c r="H154" s="5">
        <v>2443</v>
      </c>
      <c r="I154" s="5" t="s">
        <v>13</v>
      </c>
      <c r="J154" s="5">
        <v>105.8</v>
      </c>
      <c r="K154" s="10">
        <v>5</v>
      </c>
      <c r="L154" s="11">
        <v>608.4</v>
      </c>
      <c r="M154" s="31">
        <v>10</v>
      </c>
      <c r="N154" s="5">
        <v>54.8</v>
      </c>
      <c r="O154" s="5">
        <v>233931</v>
      </c>
      <c r="P154" s="5" t="s">
        <v>48</v>
      </c>
      <c r="Q154" s="5"/>
      <c r="R154" s="5">
        <v>14</v>
      </c>
      <c r="S154" s="5">
        <v>1000</v>
      </c>
      <c r="T154" s="5">
        <v>250</v>
      </c>
      <c r="U154" s="5">
        <v>380</v>
      </c>
      <c r="V154" s="5">
        <f t="shared" si="7"/>
        <v>9.3800000000000008</v>
      </c>
      <c r="W154" s="5" t="s">
        <v>10</v>
      </c>
      <c r="X154" s="5">
        <v>48</v>
      </c>
      <c r="Y154" s="5">
        <v>2118.6999999999998</v>
      </c>
      <c r="Z154" s="5">
        <v>346.5</v>
      </c>
      <c r="AA154" s="5" t="s">
        <v>68</v>
      </c>
      <c r="AB154" s="5"/>
      <c r="AC154" s="5"/>
      <c r="AD154" s="5" t="s">
        <v>76</v>
      </c>
      <c r="AE154" s="5"/>
      <c r="AF154" s="5" t="s">
        <v>68</v>
      </c>
      <c r="AG154" s="5" t="s">
        <v>68</v>
      </c>
      <c r="AH154" s="12" t="s">
        <v>48</v>
      </c>
      <c r="AI154" s="12"/>
      <c r="AJ154" s="12"/>
      <c r="AK154" s="12"/>
      <c r="AL154" s="12"/>
      <c r="AM154" s="12"/>
      <c r="AN154" s="12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</row>
    <row r="155" spans="1:240" s="2" customFormat="1" ht="30" customHeight="1">
      <c r="A155" s="5">
        <v>153</v>
      </c>
      <c r="B155" s="5" t="s">
        <v>68</v>
      </c>
      <c r="C155" s="5"/>
      <c r="D155" s="5"/>
      <c r="E155" s="5">
        <v>9490</v>
      </c>
      <c r="F155" s="5">
        <v>2230</v>
      </c>
      <c r="G155" s="5">
        <v>2210</v>
      </c>
      <c r="H155" s="5">
        <v>2761</v>
      </c>
      <c r="I155" s="5" t="s">
        <v>13</v>
      </c>
      <c r="J155" s="5">
        <v>125.2</v>
      </c>
      <c r="K155" s="10">
        <v>5</v>
      </c>
      <c r="L155" s="11">
        <v>719.9</v>
      </c>
      <c r="M155" s="31">
        <v>10</v>
      </c>
      <c r="N155" s="5">
        <v>34.6</v>
      </c>
      <c r="O155" s="5">
        <v>211202</v>
      </c>
      <c r="P155" s="5" t="s">
        <v>48</v>
      </c>
      <c r="Q155" s="5"/>
      <c r="R155" s="5">
        <v>14</v>
      </c>
      <c r="S155" s="5">
        <v>1000</v>
      </c>
      <c r="T155" s="5">
        <v>250</v>
      </c>
      <c r="U155" s="5">
        <v>380</v>
      </c>
      <c r="V155" s="5">
        <f t="shared" si="7"/>
        <v>9.3800000000000008</v>
      </c>
      <c r="W155" s="5" t="s">
        <v>10</v>
      </c>
      <c r="X155" s="5">
        <v>48</v>
      </c>
      <c r="Y155" s="5">
        <v>3178</v>
      </c>
      <c r="Z155" s="5">
        <v>519.9</v>
      </c>
      <c r="AA155" s="5" t="s">
        <v>68</v>
      </c>
      <c r="AB155" s="5"/>
      <c r="AC155" s="5"/>
      <c r="AD155" s="5" t="s">
        <v>76</v>
      </c>
      <c r="AE155" s="5"/>
      <c r="AF155" s="5" t="s">
        <v>68</v>
      </c>
      <c r="AG155" s="5" t="s">
        <v>68</v>
      </c>
      <c r="AH155" s="12" t="s">
        <v>48</v>
      </c>
      <c r="AI155" s="12"/>
      <c r="AJ155" s="12"/>
      <c r="AK155" s="12"/>
      <c r="AL155" s="12"/>
      <c r="AM155" s="12"/>
      <c r="AN155" s="12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</row>
    <row r="156" spans="1:240" s="2" customFormat="1" ht="30" customHeight="1">
      <c r="A156" s="5">
        <v>154</v>
      </c>
      <c r="B156" s="5" t="s">
        <v>68</v>
      </c>
      <c r="C156" s="5"/>
      <c r="D156" s="5"/>
      <c r="E156" s="5">
        <v>9490</v>
      </c>
      <c r="F156" s="5">
        <v>2230</v>
      </c>
      <c r="G156" s="5">
        <v>2210</v>
      </c>
      <c r="H156" s="5">
        <v>3175</v>
      </c>
      <c r="I156" s="5" t="s">
        <v>13</v>
      </c>
      <c r="J156" s="5">
        <v>131.19999999999999</v>
      </c>
      <c r="K156" s="10">
        <v>5</v>
      </c>
      <c r="L156" s="11">
        <v>754.5</v>
      </c>
      <c r="M156" s="31">
        <v>10</v>
      </c>
      <c r="N156" s="5">
        <v>52.2</v>
      </c>
      <c r="O156" s="5">
        <v>190202</v>
      </c>
      <c r="P156" s="5" t="s">
        <v>48</v>
      </c>
      <c r="Q156" s="5"/>
      <c r="R156" s="5">
        <v>14</v>
      </c>
      <c r="S156" s="5">
        <v>1000</v>
      </c>
      <c r="T156" s="5">
        <v>250</v>
      </c>
      <c r="U156" s="5">
        <v>380</v>
      </c>
      <c r="V156" s="5">
        <f t="shared" si="7"/>
        <v>9.3800000000000008</v>
      </c>
      <c r="W156" s="5" t="s">
        <v>10</v>
      </c>
      <c r="X156" s="5">
        <v>48</v>
      </c>
      <c r="Y156" s="5">
        <v>4237.3999999999996</v>
      </c>
      <c r="Z156" s="5">
        <v>693.1</v>
      </c>
      <c r="AA156" s="5" t="s">
        <v>68</v>
      </c>
      <c r="AB156" s="5"/>
      <c r="AC156" s="5"/>
      <c r="AD156" s="5" t="s">
        <v>76</v>
      </c>
      <c r="AE156" s="5"/>
      <c r="AF156" s="5" t="s">
        <v>68</v>
      </c>
      <c r="AG156" s="5" t="s">
        <v>68</v>
      </c>
      <c r="AH156" s="12" t="s">
        <v>48</v>
      </c>
      <c r="AI156" s="12"/>
      <c r="AJ156" s="12"/>
      <c r="AK156" s="12"/>
      <c r="AL156" s="12"/>
      <c r="AM156" s="12"/>
      <c r="AN156" s="12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</row>
    <row r="157" spans="1:240" s="2" customFormat="1" ht="30" customHeight="1">
      <c r="A157" s="5">
        <v>155</v>
      </c>
      <c r="B157" s="5" t="s">
        <v>68</v>
      </c>
      <c r="C157" s="5"/>
      <c r="D157" s="5"/>
      <c r="E157" s="5">
        <v>10800</v>
      </c>
      <c r="F157" s="5">
        <v>2230</v>
      </c>
      <c r="G157" s="5">
        <v>2210</v>
      </c>
      <c r="H157" s="5">
        <v>2867</v>
      </c>
      <c r="I157" s="5" t="s">
        <v>13</v>
      </c>
      <c r="J157" s="5">
        <v>122</v>
      </c>
      <c r="K157" s="10">
        <v>5</v>
      </c>
      <c r="L157" s="11">
        <v>701.6</v>
      </c>
      <c r="M157" s="31">
        <v>10</v>
      </c>
      <c r="N157" s="5">
        <v>49</v>
      </c>
      <c r="O157" s="5">
        <v>267410</v>
      </c>
      <c r="P157" s="5" t="s">
        <v>48</v>
      </c>
      <c r="Q157" s="5"/>
      <c r="R157" s="5">
        <v>16</v>
      </c>
      <c r="S157" s="5">
        <v>1000</v>
      </c>
      <c r="T157" s="5">
        <v>250</v>
      </c>
      <c r="U157" s="5">
        <v>380</v>
      </c>
      <c r="V157" s="5">
        <f t="shared" si="7"/>
        <v>10.72</v>
      </c>
      <c r="W157" s="5" t="s">
        <v>10</v>
      </c>
      <c r="X157" s="5">
        <v>49</v>
      </c>
      <c r="Y157" s="5">
        <v>2423</v>
      </c>
      <c r="Z157" s="5">
        <v>396.4</v>
      </c>
      <c r="AA157" s="5" t="s">
        <v>68</v>
      </c>
      <c r="AB157" s="5"/>
      <c r="AC157" s="5"/>
      <c r="AD157" s="5" t="s">
        <v>76</v>
      </c>
      <c r="AE157" s="5"/>
      <c r="AF157" s="5" t="s">
        <v>68</v>
      </c>
      <c r="AG157" s="5" t="s">
        <v>68</v>
      </c>
      <c r="AH157" s="12" t="s">
        <v>48</v>
      </c>
      <c r="AI157" s="12"/>
      <c r="AJ157" s="12"/>
      <c r="AK157" s="12"/>
      <c r="AL157" s="12"/>
      <c r="AM157" s="12"/>
      <c r="AN157" s="12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</row>
    <row r="158" spans="1:240" s="2" customFormat="1" ht="30" customHeight="1">
      <c r="A158" s="5">
        <v>156</v>
      </c>
      <c r="B158" s="5" t="s">
        <v>68</v>
      </c>
      <c r="C158" s="5"/>
      <c r="D158" s="5"/>
      <c r="E158" s="5">
        <v>10800</v>
      </c>
      <c r="F158" s="5">
        <v>2230</v>
      </c>
      <c r="G158" s="5">
        <v>2210</v>
      </c>
      <c r="H158" s="5">
        <v>3165</v>
      </c>
      <c r="I158" s="5" t="s">
        <v>13</v>
      </c>
      <c r="J158" s="5">
        <v>144.1</v>
      </c>
      <c r="K158" s="10">
        <v>5</v>
      </c>
      <c r="L158" s="11">
        <v>828.4</v>
      </c>
      <c r="M158" s="31">
        <v>10</v>
      </c>
      <c r="N158" s="5">
        <v>50.3</v>
      </c>
      <c r="O158" s="5">
        <v>241463</v>
      </c>
      <c r="P158" s="5" t="s">
        <v>48</v>
      </c>
      <c r="Q158" s="5"/>
      <c r="R158" s="5">
        <v>16</v>
      </c>
      <c r="S158" s="5">
        <v>1000</v>
      </c>
      <c r="T158" s="5">
        <v>250</v>
      </c>
      <c r="U158" s="5">
        <v>380</v>
      </c>
      <c r="V158" s="5">
        <f t="shared" si="7"/>
        <v>10.72</v>
      </c>
      <c r="W158" s="5" t="s">
        <v>10</v>
      </c>
      <c r="X158" s="5">
        <v>49</v>
      </c>
      <c r="Y158" s="5">
        <v>3634.5</v>
      </c>
      <c r="Z158" s="5">
        <v>594.6</v>
      </c>
      <c r="AA158" s="5" t="s">
        <v>68</v>
      </c>
      <c r="AB158" s="5"/>
      <c r="AC158" s="5"/>
      <c r="AD158" s="5" t="s">
        <v>76</v>
      </c>
      <c r="AE158" s="5"/>
      <c r="AF158" s="5" t="s">
        <v>68</v>
      </c>
      <c r="AG158" s="5" t="s">
        <v>68</v>
      </c>
      <c r="AH158" s="12" t="s">
        <v>48</v>
      </c>
      <c r="AI158" s="12"/>
      <c r="AJ158" s="12"/>
      <c r="AK158" s="12"/>
      <c r="AL158" s="12"/>
      <c r="AM158" s="12"/>
      <c r="AN158" s="12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</row>
    <row r="159" spans="1:240" s="2" customFormat="1" ht="30" customHeight="1">
      <c r="A159" s="5">
        <v>157</v>
      </c>
      <c r="B159" s="5" t="s">
        <v>68</v>
      </c>
      <c r="C159" s="5"/>
      <c r="D159" s="5"/>
      <c r="E159" s="5">
        <v>10800</v>
      </c>
      <c r="F159" s="5">
        <v>2230</v>
      </c>
      <c r="G159" s="5">
        <v>2210</v>
      </c>
      <c r="H159" s="5">
        <v>3590</v>
      </c>
      <c r="I159" s="5" t="s">
        <v>13</v>
      </c>
      <c r="J159" s="24">
        <v>150.80000000000001</v>
      </c>
      <c r="K159" s="10">
        <v>5</v>
      </c>
      <c r="L159" s="11">
        <v>866.8</v>
      </c>
      <c r="M159" s="31">
        <v>10</v>
      </c>
      <c r="N159" s="14">
        <v>33.700000000000003</v>
      </c>
      <c r="O159" s="5">
        <v>217476</v>
      </c>
      <c r="P159" s="5" t="s">
        <v>48</v>
      </c>
      <c r="Q159" s="5"/>
      <c r="R159" s="5">
        <v>16</v>
      </c>
      <c r="S159" s="5">
        <v>1000</v>
      </c>
      <c r="T159" s="5">
        <v>250</v>
      </c>
      <c r="U159" s="5">
        <v>380</v>
      </c>
      <c r="V159" s="5">
        <f t="shared" si="7"/>
        <v>10.72</v>
      </c>
      <c r="W159" s="5" t="s">
        <v>10</v>
      </c>
      <c r="X159" s="5">
        <v>49</v>
      </c>
      <c r="Y159" s="5">
        <v>4846</v>
      </c>
      <c r="Z159" s="5">
        <v>792.8</v>
      </c>
      <c r="AA159" s="5" t="s">
        <v>68</v>
      </c>
      <c r="AB159" s="5"/>
      <c r="AC159" s="5"/>
      <c r="AD159" s="5" t="s">
        <v>76</v>
      </c>
      <c r="AE159" s="5"/>
      <c r="AF159" s="5" t="s">
        <v>68</v>
      </c>
      <c r="AG159" s="5" t="s">
        <v>68</v>
      </c>
      <c r="AH159" s="12" t="s">
        <v>48</v>
      </c>
      <c r="AI159" s="12"/>
      <c r="AJ159" s="12"/>
      <c r="AK159" s="12"/>
      <c r="AL159" s="12"/>
      <c r="AM159" s="12"/>
      <c r="AN159" s="12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</row>
    <row r="160" spans="1:240" s="2" customFormat="1" ht="30" customHeight="1">
      <c r="A160" s="5">
        <v>158</v>
      </c>
      <c r="B160" s="5" t="s">
        <v>68</v>
      </c>
      <c r="C160" s="5"/>
      <c r="D160" s="5"/>
      <c r="E160" s="5">
        <v>1545</v>
      </c>
      <c r="F160" s="5">
        <v>1214</v>
      </c>
      <c r="G160" s="5">
        <v>1221</v>
      </c>
      <c r="H160" s="5">
        <v>115</v>
      </c>
      <c r="I160" s="5" t="s">
        <v>13</v>
      </c>
      <c r="J160" s="34">
        <v>6.2426443525071917</v>
      </c>
      <c r="K160" s="10">
        <v>5</v>
      </c>
      <c r="L160" s="11">
        <v>36</v>
      </c>
      <c r="M160" s="31">
        <v>10</v>
      </c>
      <c r="N160" s="5">
        <v>20.8</v>
      </c>
      <c r="O160" s="5">
        <v>17747</v>
      </c>
      <c r="P160" s="5" t="s">
        <v>48</v>
      </c>
      <c r="Q160" s="5">
        <v>1</v>
      </c>
      <c r="R160" s="5">
        <v>1</v>
      </c>
      <c r="S160" s="5">
        <v>630</v>
      </c>
      <c r="T160" s="5">
        <v>1000</v>
      </c>
      <c r="U160" s="5">
        <v>1310</v>
      </c>
      <c r="V160" s="5">
        <f t="shared" ref="V160:V187" si="8">2.6*R160</f>
        <v>2.6</v>
      </c>
      <c r="W160" s="5" t="s">
        <v>10</v>
      </c>
      <c r="X160" s="5">
        <v>56</v>
      </c>
      <c r="Y160" s="5">
        <v>88.2</v>
      </c>
      <c r="Z160" s="5">
        <v>8</v>
      </c>
      <c r="AA160" s="5" t="s">
        <v>68</v>
      </c>
      <c r="AB160" s="5"/>
      <c r="AC160" s="5"/>
      <c r="AD160" s="5"/>
      <c r="AE160" s="5"/>
      <c r="AF160" s="5" t="s">
        <v>68</v>
      </c>
      <c r="AG160" s="5"/>
      <c r="AH160" s="12">
        <v>3595</v>
      </c>
      <c r="AI160" s="12"/>
      <c r="AJ160" s="12"/>
      <c r="AK160" s="12"/>
      <c r="AL160" s="12"/>
      <c r="AM160" s="12">
        <f>AH160</f>
        <v>3595</v>
      </c>
      <c r="AN160" s="12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</row>
    <row r="161" spans="1:240" s="2" customFormat="1" ht="30" customHeight="1">
      <c r="A161" s="5">
        <v>159</v>
      </c>
      <c r="B161" s="5" t="s">
        <v>68</v>
      </c>
      <c r="C161" s="5"/>
      <c r="D161" s="5"/>
      <c r="E161" s="5">
        <v>1545</v>
      </c>
      <c r="F161" s="5">
        <v>1214</v>
      </c>
      <c r="G161" s="5">
        <v>1221</v>
      </c>
      <c r="H161" s="5">
        <v>125</v>
      </c>
      <c r="I161" s="5" t="s">
        <v>13</v>
      </c>
      <c r="J161" s="34">
        <v>8.3408664820998872</v>
      </c>
      <c r="K161" s="10">
        <v>5</v>
      </c>
      <c r="L161" s="11">
        <v>48.1</v>
      </c>
      <c r="M161" s="31">
        <v>10</v>
      </c>
      <c r="N161" s="5">
        <v>70</v>
      </c>
      <c r="O161" s="5">
        <v>17182</v>
      </c>
      <c r="P161" s="5" t="s">
        <v>48</v>
      </c>
      <c r="Q161" s="5">
        <v>1</v>
      </c>
      <c r="R161" s="5">
        <v>1</v>
      </c>
      <c r="S161" s="5">
        <v>630</v>
      </c>
      <c r="T161" s="5">
        <v>1000</v>
      </c>
      <c r="U161" s="5">
        <v>1310</v>
      </c>
      <c r="V161" s="5">
        <f t="shared" si="8"/>
        <v>2.6</v>
      </c>
      <c r="W161" s="5" t="s">
        <v>10</v>
      </c>
      <c r="X161" s="5">
        <v>56</v>
      </c>
      <c r="Y161" s="5">
        <v>132.30000000000001</v>
      </c>
      <c r="Z161" s="5">
        <v>11</v>
      </c>
      <c r="AA161" s="5" t="s">
        <v>68</v>
      </c>
      <c r="AB161" s="5"/>
      <c r="AC161" s="5"/>
      <c r="AD161" s="5"/>
      <c r="AE161" s="5"/>
      <c r="AF161" s="5" t="s">
        <v>68</v>
      </c>
      <c r="AG161" s="5"/>
      <c r="AH161" s="12">
        <v>3847</v>
      </c>
      <c r="AI161" s="12"/>
      <c r="AJ161" s="12"/>
      <c r="AK161" s="12"/>
      <c r="AL161" s="12"/>
      <c r="AM161" s="12">
        <f t="shared" ref="AM161:AM224" si="9">AH161</f>
        <v>3847</v>
      </c>
      <c r="AN161" s="12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</row>
    <row r="162" spans="1:240" s="2" customFormat="1" ht="30" customHeight="1">
      <c r="A162" s="5">
        <v>160</v>
      </c>
      <c r="B162" s="5" t="s">
        <v>68</v>
      </c>
      <c r="C162" s="5"/>
      <c r="D162" s="5"/>
      <c r="E162" s="5">
        <v>1545</v>
      </c>
      <c r="F162" s="5">
        <v>1214</v>
      </c>
      <c r="G162" s="5">
        <v>1221</v>
      </c>
      <c r="H162" s="5">
        <v>135</v>
      </c>
      <c r="I162" s="5" t="s">
        <v>13</v>
      </c>
      <c r="J162" s="34">
        <v>9.5373733163304326</v>
      </c>
      <c r="K162" s="10">
        <v>5</v>
      </c>
      <c r="L162" s="11">
        <v>55</v>
      </c>
      <c r="M162" s="31">
        <v>10</v>
      </c>
      <c r="N162" s="5">
        <v>53.7</v>
      </c>
      <c r="O162" s="5">
        <v>16576</v>
      </c>
      <c r="P162" s="5" t="s">
        <v>48</v>
      </c>
      <c r="Q162" s="5">
        <v>1</v>
      </c>
      <c r="R162" s="5">
        <v>1</v>
      </c>
      <c r="S162" s="5">
        <v>630</v>
      </c>
      <c r="T162" s="5">
        <v>1000</v>
      </c>
      <c r="U162" s="5">
        <v>1310</v>
      </c>
      <c r="V162" s="5">
        <f t="shared" si="8"/>
        <v>2.6</v>
      </c>
      <c r="W162" s="5" t="s">
        <v>10</v>
      </c>
      <c r="X162" s="5">
        <v>56</v>
      </c>
      <c r="Y162" s="5">
        <v>176.5</v>
      </c>
      <c r="Z162" s="5">
        <v>15</v>
      </c>
      <c r="AA162" s="5" t="s">
        <v>68</v>
      </c>
      <c r="AB162" s="5"/>
      <c r="AC162" s="5"/>
      <c r="AD162" s="5"/>
      <c r="AE162" s="5"/>
      <c r="AF162" s="5" t="s">
        <v>68</v>
      </c>
      <c r="AG162" s="5"/>
      <c r="AH162" s="12">
        <v>4121</v>
      </c>
      <c r="AI162" s="12"/>
      <c r="AJ162" s="12"/>
      <c r="AK162" s="12"/>
      <c r="AL162" s="12"/>
      <c r="AM162" s="12">
        <f t="shared" si="9"/>
        <v>4121</v>
      </c>
      <c r="AN162" s="12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</row>
    <row r="163" spans="1:240" s="2" customFormat="1" ht="30" customHeight="1">
      <c r="A163" s="5">
        <v>161</v>
      </c>
      <c r="B163" s="5" t="s">
        <v>68</v>
      </c>
      <c r="C163" s="5"/>
      <c r="D163" s="5"/>
      <c r="E163" s="5">
        <v>1545</v>
      </c>
      <c r="F163" s="5">
        <v>1214</v>
      </c>
      <c r="G163" s="5">
        <v>1221</v>
      </c>
      <c r="H163" s="5">
        <v>145</v>
      </c>
      <c r="I163" s="5" t="s">
        <v>13</v>
      </c>
      <c r="J163" s="34">
        <v>10.2830225028799</v>
      </c>
      <c r="K163" s="10">
        <v>5</v>
      </c>
      <c r="L163" s="11">
        <v>59.3</v>
      </c>
      <c r="M163" s="31">
        <v>10</v>
      </c>
      <c r="N163" s="5">
        <v>40.799999999999997</v>
      </c>
      <c r="O163" s="5">
        <v>15971</v>
      </c>
      <c r="P163" s="5" t="s">
        <v>48</v>
      </c>
      <c r="Q163" s="5">
        <v>1</v>
      </c>
      <c r="R163" s="5">
        <v>1</v>
      </c>
      <c r="S163" s="5">
        <v>630</v>
      </c>
      <c r="T163" s="5">
        <v>1000</v>
      </c>
      <c r="U163" s="5">
        <v>1310</v>
      </c>
      <c r="V163" s="5">
        <f t="shared" si="8"/>
        <v>2.6</v>
      </c>
      <c r="W163" s="5" t="s">
        <v>10</v>
      </c>
      <c r="X163" s="5">
        <v>56</v>
      </c>
      <c r="Y163" s="5">
        <v>220.6</v>
      </c>
      <c r="Z163" s="5">
        <v>19</v>
      </c>
      <c r="AA163" s="5" t="s">
        <v>68</v>
      </c>
      <c r="AB163" s="5"/>
      <c r="AC163" s="5"/>
      <c r="AD163" s="5"/>
      <c r="AE163" s="5"/>
      <c r="AF163" s="5" t="s">
        <v>68</v>
      </c>
      <c r="AG163" s="5"/>
      <c r="AH163" s="12" t="s">
        <v>48</v>
      </c>
      <c r="AI163" s="12"/>
      <c r="AJ163" s="12"/>
      <c r="AK163" s="12"/>
      <c r="AL163" s="12"/>
      <c r="AM163" s="12" t="str">
        <f t="shared" si="9"/>
        <v>_</v>
      </c>
      <c r="AN163" s="12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</row>
    <row r="164" spans="1:240" s="2" customFormat="1" ht="30" customHeight="1">
      <c r="A164" s="5">
        <v>162</v>
      </c>
      <c r="B164" s="5" t="s">
        <v>68</v>
      </c>
      <c r="C164" s="5"/>
      <c r="D164" s="5"/>
      <c r="E164" s="5">
        <v>2635</v>
      </c>
      <c r="F164" s="5">
        <v>1214</v>
      </c>
      <c r="G164" s="5">
        <v>1221</v>
      </c>
      <c r="H164" s="5">
        <v>230</v>
      </c>
      <c r="I164" s="5" t="s">
        <v>13</v>
      </c>
      <c r="J164" s="34">
        <v>12.814761601396709</v>
      </c>
      <c r="K164" s="10">
        <v>5</v>
      </c>
      <c r="L164" s="11">
        <v>73.900000000000006</v>
      </c>
      <c r="M164" s="31">
        <v>10</v>
      </c>
      <c r="N164" s="5">
        <v>79</v>
      </c>
      <c r="O164" s="5">
        <v>35414</v>
      </c>
      <c r="P164" s="5" t="s">
        <v>48</v>
      </c>
      <c r="Q164" s="5">
        <v>1</v>
      </c>
      <c r="R164" s="5">
        <v>2</v>
      </c>
      <c r="S164" s="5">
        <v>630</v>
      </c>
      <c r="T164" s="5">
        <v>1000</v>
      </c>
      <c r="U164" s="5">
        <v>1310</v>
      </c>
      <c r="V164" s="5">
        <f t="shared" si="8"/>
        <v>5.2</v>
      </c>
      <c r="W164" s="5" t="s">
        <v>10</v>
      </c>
      <c r="X164" s="5">
        <v>59</v>
      </c>
      <c r="Y164" s="5">
        <v>172.6</v>
      </c>
      <c r="Z164" s="5">
        <v>15</v>
      </c>
      <c r="AA164" s="5" t="s">
        <v>68</v>
      </c>
      <c r="AB164" s="5"/>
      <c r="AC164" s="5"/>
      <c r="AD164" s="5"/>
      <c r="AE164" s="5"/>
      <c r="AF164" s="5" t="s">
        <v>68</v>
      </c>
      <c r="AG164" s="5"/>
      <c r="AH164" s="12">
        <v>5374</v>
      </c>
      <c r="AI164" s="12"/>
      <c r="AJ164" s="12"/>
      <c r="AK164" s="12"/>
      <c r="AL164" s="12"/>
      <c r="AM164" s="12">
        <f t="shared" si="9"/>
        <v>5374</v>
      </c>
      <c r="AN164" s="12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</row>
    <row r="165" spans="1:240" s="2" customFormat="1" ht="30" customHeight="1">
      <c r="A165" s="5">
        <v>163</v>
      </c>
      <c r="B165" s="5" t="s">
        <v>68</v>
      </c>
      <c r="C165" s="5"/>
      <c r="D165" s="5"/>
      <c r="E165" s="5">
        <v>2635</v>
      </c>
      <c r="F165" s="5">
        <v>1214</v>
      </c>
      <c r="G165" s="5">
        <v>1221</v>
      </c>
      <c r="H165" s="5">
        <v>250</v>
      </c>
      <c r="I165" s="5" t="s">
        <v>13</v>
      </c>
      <c r="J165" s="34">
        <v>16.438963461602274</v>
      </c>
      <c r="K165" s="10">
        <v>5</v>
      </c>
      <c r="L165" s="11">
        <v>94.8</v>
      </c>
      <c r="M165" s="31">
        <v>10</v>
      </c>
      <c r="N165" s="5">
        <v>59.9</v>
      </c>
      <c r="O165" s="5">
        <v>34227</v>
      </c>
      <c r="P165" s="5" t="s">
        <v>48</v>
      </c>
      <c r="Q165" s="5">
        <v>1</v>
      </c>
      <c r="R165" s="5">
        <v>2</v>
      </c>
      <c r="S165" s="5">
        <v>630</v>
      </c>
      <c r="T165" s="5">
        <v>1000</v>
      </c>
      <c r="U165" s="5">
        <v>1310</v>
      </c>
      <c r="V165" s="5">
        <f t="shared" si="8"/>
        <v>5.2</v>
      </c>
      <c r="W165" s="5" t="s">
        <v>10</v>
      </c>
      <c r="X165" s="5">
        <v>59</v>
      </c>
      <c r="Y165" s="5">
        <v>258.89999999999998</v>
      </c>
      <c r="Z165" s="5">
        <v>22</v>
      </c>
      <c r="AA165" s="5" t="s">
        <v>68</v>
      </c>
      <c r="AB165" s="5"/>
      <c r="AC165" s="5"/>
      <c r="AD165" s="5"/>
      <c r="AE165" s="5"/>
      <c r="AF165" s="5" t="s">
        <v>68</v>
      </c>
      <c r="AG165" s="5"/>
      <c r="AH165" s="12">
        <v>6024</v>
      </c>
      <c r="AI165" s="12"/>
      <c r="AJ165" s="12"/>
      <c r="AK165" s="12"/>
      <c r="AL165" s="12"/>
      <c r="AM165" s="12">
        <f t="shared" si="9"/>
        <v>6024</v>
      </c>
      <c r="AN165" s="12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</row>
    <row r="166" spans="1:240" s="2" customFormat="1" ht="30" customHeight="1">
      <c r="A166" s="5">
        <v>164</v>
      </c>
      <c r="B166" s="5" t="s">
        <v>68</v>
      </c>
      <c r="C166" s="5"/>
      <c r="D166" s="5"/>
      <c r="E166" s="5">
        <v>2635</v>
      </c>
      <c r="F166" s="5">
        <v>1214</v>
      </c>
      <c r="G166" s="5">
        <v>1221</v>
      </c>
      <c r="H166" s="5">
        <v>270</v>
      </c>
      <c r="I166" s="5" t="s">
        <v>13</v>
      </c>
      <c r="J166" s="34">
        <v>19.022724596389974</v>
      </c>
      <c r="K166" s="10">
        <v>5</v>
      </c>
      <c r="L166" s="11">
        <v>109.7</v>
      </c>
      <c r="M166" s="31">
        <v>10</v>
      </c>
      <c r="N166" s="5">
        <v>77.599999999999994</v>
      </c>
      <c r="O166" s="5">
        <v>32966</v>
      </c>
      <c r="P166" s="5" t="s">
        <v>48</v>
      </c>
      <c r="Q166" s="5">
        <v>1</v>
      </c>
      <c r="R166" s="5">
        <v>2</v>
      </c>
      <c r="S166" s="5">
        <v>630</v>
      </c>
      <c r="T166" s="5">
        <v>1000</v>
      </c>
      <c r="U166" s="5">
        <v>1310</v>
      </c>
      <c r="V166" s="5">
        <f t="shared" si="8"/>
        <v>5.2</v>
      </c>
      <c r="W166" s="5" t="s">
        <v>10</v>
      </c>
      <c r="X166" s="5">
        <v>59</v>
      </c>
      <c r="Y166" s="5">
        <v>345.2</v>
      </c>
      <c r="Z166" s="5">
        <v>30</v>
      </c>
      <c r="AA166" s="5" t="s">
        <v>68</v>
      </c>
      <c r="AB166" s="5"/>
      <c r="AC166" s="5"/>
      <c r="AD166" s="5"/>
      <c r="AE166" s="5"/>
      <c r="AF166" s="5" t="s">
        <v>68</v>
      </c>
      <c r="AG166" s="5"/>
      <c r="AH166" s="12">
        <v>6493</v>
      </c>
      <c r="AI166" s="12"/>
      <c r="AJ166" s="12"/>
      <c r="AK166" s="12"/>
      <c r="AL166" s="12"/>
      <c r="AM166" s="12">
        <f t="shared" si="9"/>
        <v>6493</v>
      </c>
      <c r="AN166" s="12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</row>
    <row r="167" spans="1:240" s="2" customFormat="1" ht="30" customHeight="1">
      <c r="A167" s="5">
        <v>165</v>
      </c>
      <c r="B167" s="5" t="s">
        <v>68</v>
      </c>
      <c r="C167" s="5"/>
      <c r="D167" s="5"/>
      <c r="E167" s="5">
        <v>2635</v>
      </c>
      <c r="F167" s="5">
        <v>1214</v>
      </c>
      <c r="G167" s="5">
        <v>1221</v>
      </c>
      <c r="H167" s="5">
        <v>290</v>
      </c>
      <c r="I167" s="5" t="s">
        <v>13</v>
      </c>
      <c r="J167" s="34">
        <v>20.479341611974981</v>
      </c>
      <c r="K167" s="10">
        <v>5</v>
      </c>
      <c r="L167" s="11">
        <v>118.1</v>
      </c>
      <c r="M167" s="31">
        <v>10</v>
      </c>
      <c r="N167" s="5">
        <v>59.3</v>
      </c>
      <c r="O167" s="5">
        <v>31714</v>
      </c>
      <c r="P167" s="5" t="s">
        <v>48</v>
      </c>
      <c r="Q167" s="5">
        <v>1</v>
      </c>
      <c r="R167" s="5">
        <v>2</v>
      </c>
      <c r="S167" s="5">
        <v>630</v>
      </c>
      <c r="T167" s="5">
        <v>1000</v>
      </c>
      <c r="U167" s="5">
        <v>1310</v>
      </c>
      <c r="V167" s="5">
        <f t="shared" si="8"/>
        <v>5.2</v>
      </c>
      <c r="W167" s="5" t="s">
        <v>10</v>
      </c>
      <c r="X167" s="5">
        <v>59</v>
      </c>
      <c r="Y167" s="5">
        <v>431.5</v>
      </c>
      <c r="Z167" s="5">
        <v>37</v>
      </c>
      <c r="AA167" s="5" t="s">
        <v>68</v>
      </c>
      <c r="AB167" s="5"/>
      <c r="AC167" s="5"/>
      <c r="AD167" s="5"/>
      <c r="AE167" s="5"/>
      <c r="AF167" s="5" t="s">
        <v>68</v>
      </c>
      <c r="AG167" s="5"/>
      <c r="AH167" s="14" t="s">
        <v>48</v>
      </c>
      <c r="AI167" s="14"/>
      <c r="AJ167" s="14"/>
      <c r="AK167" s="14"/>
      <c r="AL167" s="14"/>
      <c r="AM167" s="12" t="str">
        <f t="shared" si="9"/>
        <v>_</v>
      </c>
      <c r="AN167" s="12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</row>
    <row r="168" spans="1:240" s="2" customFormat="1" ht="30" customHeight="1">
      <c r="A168" s="5">
        <v>166</v>
      </c>
      <c r="B168" s="5" t="s">
        <v>68</v>
      </c>
      <c r="C168" s="5"/>
      <c r="D168" s="5"/>
      <c r="E168" s="5">
        <v>4655</v>
      </c>
      <c r="F168" s="5">
        <v>1214</v>
      </c>
      <c r="G168" s="5">
        <v>1221</v>
      </c>
      <c r="H168" s="5">
        <v>345</v>
      </c>
      <c r="I168" s="5" t="s">
        <v>13</v>
      </c>
      <c r="J168" s="34">
        <v>18.970702560119079</v>
      </c>
      <c r="K168" s="10">
        <v>5</v>
      </c>
      <c r="L168" s="11">
        <v>109.4</v>
      </c>
      <c r="M168" s="31">
        <v>10</v>
      </c>
      <c r="N168" s="5">
        <v>54.9</v>
      </c>
      <c r="O168" s="5">
        <v>53078</v>
      </c>
      <c r="P168" s="5" t="s">
        <v>48</v>
      </c>
      <c r="Q168" s="5">
        <v>1</v>
      </c>
      <c r="R168" s="5">
        <v>3</v>
      </c>
      <c r="S168" s="5">
        <v>630</v>
      </c>
      <c r="T168" s="5">
        <v>1000</v>
      </c>
      <c r="U168" s="5">
        <v>1310</v>
      </c>
      <c r="V168" s="5">
        <f t="shared" si="8"/>
        <v>7.8000000000000007</v>
      </c>
      <c r="W168" s="5" t="s">
        <v>10</v>
      </c>
      <c r="X168" s="5">
        <v>61</v>
      </c>
      <c r="Y168" s="5">
        <v>256.89999999999998</v>
      </c>
      <c r="Z168" s="5">
        <v>22</v>
      </c>
      <c r="AA168" s="5" t="s">
        <v>68</v>
      </c>
      <c r="AB168" s="5"/>
      <c r="AC168" s="5"/>
      <c r="AD168" s="5"/>
      <c r="AE168" s="5"/>
      <c r="AF168" s="5" t="s">
        <v>68</v>
      </c>
      <c r="AG168" s="5"/>
      <c r="AH168" s="12">
        <v>7075</v>
      </c>
      <c r="AI168" s="12"/>
      <c r="AJ168" s="12"/>
      <c r="AK168" s="12"/>
      <c r="AL168" s="12"/>
      <c r="AM168" s="12">
        <f t="shared" si="9"/>
        <v>7075</v>
      </c>
      <c r="AN168" s="12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</row>
    <row r="169" spans="1:240" s="2" customFormat="1" ht="30" customHeight="1">
      <c r="A169" s="5">
        <v>167</v>
      </c>
      <c r="B169" s="5" t="s">
        <v>68</v>
      </c>
      <c r="C169" s="5"/>
      <c r="D169" s="5"/>
      <c r="E169" s="5">
        <v>4655</v>
      </c>
      <c r="F169" s="5">
        <v>1214</v>
      </c>
      <c r="G169" s="5">
        <v>1221</v>
      </c>
      <c r="H169" s="5">
        <v>375</v>
      </c>
      <c r="I169" s="5" t="s">
        <v>13</v>
      </c>
      <c r="J169" s="34">
        <v>24.36365365353501</v>
      </c>
      <c r="K169" s="10">
        <v>5</v>
      </c>
      <c r="L169" s="11">
        <v>140.5</v>
      </c>
      <c r="M169" s="31">
        <v>10</v>
      </c>
      <c r="N169" s="5">
        <v>41.7</v>
      </c>
      <c r="O169" s="5">
        <v>51269</v>
      </c>
      <c r="P169" s="5" t="s">
        <v>48</v>
      </c>
      <c r="Q169" s="5">
        <v>1</v>
      </c>
      <c r="R169" s="5">
        <v>3</v>
      </c>
      <c r="S169" s="5">
        <v>630</v>
      </c>
      <c r="T169" s="5">
        <v>1000</v>
      </c>
      <c r="U169" s="5">
        <v>1310</v>
      </c>
      <c r="V169" s="5">
        <f t="shared" si="8"/>
        <v>7.8000000000000007</v>
      </c>
      <c r="W169" s="5" t="s">
        <v>10</v>
      </c>
      <c r="X169" s="5">
        <v>61</v>
      </c>
      <c r="Y169" s="5">
        <v>385.4</v>
      </c>
      <c r="Z169" s="5">
        <v>33</v>
      </c>
      <c r="AA169" s="5" t="s">
        <v>68</v>
      </c>
      <c r="AB169" s="5"/>
      <c r="AC169" s="5"/>
      <c r="AD169" s="5"/>
      <c r="AE169" s="5"/>
      <c r="AF169" s="5" t="s">
        <v>68</v>
      </c>
      <c r="AG169" s="5"/>
      <c r="AH169" s="12">
        <v>7948</v>
      </c>
      <c r="AI169" s="12"/>
      <c r="AJ169" s="12"/>
      <c r="AK169" s="12"/>
      <c r="AL169" s="12"/>
      <c r="AM169" s="12">
        <f t="shared" si="9"/>
        <v>7948</v>
      </c>
      <c r="AN169" s="12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</row>
    <row r="170" spans="1:240" s="2" customFormat="1" ht="30" customHeight="1">
      <c r="A170" s="5">
        <v>168</v>
      </c>
      <c r="B170" s="5" t="s">
        <v>68</v>
      </c>
      <c r="C170" s="5"/>
      <c r="D170" s="5"/>
      <c r="E170" s="5">
        <v>4655</v>
      </c>
      <c r="F170" s="5">
        <v>1214</v>
      </c>
      <c r="G170" s="5">
        <v>1221</v>
      </c>
      <c r="H170" s="5">
        <v>405</v>
      </c>
      <c r="I170" s="5" t="s">
        <v>13</v>
      </c>
      <c r="J170" s="34">
        <v>28.404031803907724</v>
      </c>
      <c r="K170" s="10">
        <v>5</v>
      </c>
      <c r="L170" s="11">
        <v>163.80000000000001</v>
      </c>
      <c r="M170" s="31">
        <v>10</v>
      </c>
      <c r="N170" s="5">
        <v>73.3</v>
      </c>
      <c r="O170" s="5">
        <v>49351</v>
      </c>
      <c r="P170" s="5" t="s">
        <v>48</v>
      </c>
      <c r="Q170" s="5">
        <v>1</v>
      </c>
      <c r="R170" s="5">
        <v>3</v>
      </c>
      <c r="S170" s="5">
        <v>630</v>
      </c>
      <c r="T170" s="5">
        <v>1000</v>
      </c>
      <c r="U170" s="5">
        <v>1310</v>
      </c>
      <c r="V170" s="5">
        <f t="shared" si="8"/>
        <v>7.8000000000000007</v>
      </c>
      <c r="W170" s="5" t="s">
        <v>10</v>
      </c>
      <c r="X170" s="5">
        <v>61</v>
      </c>
      <c r="Y170" s="5">
        <v>513.9</v>
      </c>
      <c r="Z170" s="5">
        <v>44</v>
      </c>
      <c r="AA170" s="5" t="s">
        <v>68</v>
      </c>
      <c r="AB170" s="5"/>
      <c r="AC170" s="5"/>
      <c r="AD170" s="5"/>
      <c r="AE170" s="5"/>
      <c r="AF170" s="5" t="s">
        <v>68</v>
      </c>
      <c r="AG170" s="5"/>
      <c r="AH170" s="12">
        <v>8575</v>
      </c>
      <c r="AI170" s="12"/>
      <c r="AJ170" s="12"/>
      <c r="AK170" s="12"/>
      <c r="AL170" s="12"/>
      <c r="AM170" s="12">
        <f t="shared" si="9"/>
        <v>8575</v>
      </c>
      <c r="AN170" s="12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</row>
    <row r="171" spans="1:240" s="2" customFormat="1" ht="30" customHeight="1">
      <c r="A171" s="5">
        <v>169</v>
      </c>
      <c r="B171" s="5" t="s">
        <v>68</v>
      </c>
      <c r="C171" s="5"/>
      <c r="D171" s="5"/>
      <c r="E171" s="5">
        <v>4655</v>
      </c>
      <c r="F171" s="5">
        <v>1214</v>
      </c>
      <c r="G171" s="5">
        <v>1221</v>
      </c>
      <c r="H171" s="5">
        <v>435</v>
      </c>
      <c r="I171" s="5" t="s">
        <v>13</v>
      </c>
      <c r="J171" s="34">
        <v>30.588957327285243</v>
      </c>
      <c r="K171" s="10">
        <v>5</v>
      </c>
      <c r="L171" s="11">
        <v>176.4</v>
      </c>
      <c r="M171" s="31">
        <v>10</v>
      </c>
      <c r="N171" s="5">
        <v>58.3</v>
      </c>
      <c r="O171" s="5">
        <v>47454</v>
      </c>
      <c r="P171" s="5" t="s">
        <v>48</v>
      </c>
      <c r="Q171" s="5">
        <v>1</v>
      </c>
      <c r="R171" s="5">
        <v>3</v>
      </c>
      <c r="S171" s="5">
        <v>630</v>
      </c>
      <c r="T171" s="5">
        <v>1000</v>
      </c>
      <c r="U171" s="5">
        <v>1310</v>
      </c>
      <c r="V171" s="5">
        <f t="shared" si="8"/>
        <v>7.8000000000000007</v>
      </c>
      <c r="W171" s="5" t="s">
        <v>10</v>
      </c>
      <c r="X171" s="5">
        <v>61</v>
      </c>
      <c r="Y171" s="5">
        <v>642.4</v>
      </c>
      <c r="Z171" s="5">
        <v>55</v>
      </c>
      <c r="AA171" s="5" t="s">
        <v>68</v>
      </c>
      <c r="AB171" s="5"/>
      <c r="AC171" s="5"/>
      <c r="AD171" s="5"/>
      <c r="AE171" s="5"/>
      <c r="AF171" s="5" t="s">
        <v>68</v>
      </c>
      <c r="AG171" s="5"/>
      <c r="AH171" s="14" t="s">
        <v>48</v>
      </c>
      <c r="AI171" s="14"/>
      <c r="AJ171" s="14"/>
      <c r="AK171" s="14"/>
      <c r="AL171" s="14"/>
      <c r="AM171" s="12" t="str">
        <f t="shared" si="9"/>
        <v>_</v>
      </c>
      <c r="AN171" s="12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</row>
    <row r="172" spans="1:240" s="2" customFormat="1" ht="30" customHeight="1">
      <c r="A172" s="5">
        <v>170</v>
      </c>
      <c r="B172" s="5" t="s">
        <v>68</v>
      </c>
      <c r="C172" s="5"/>
      <c r="D172" s="5"/>
      <c r="E172" s="5">
        <v>4815</v>
      </c>
      <c r="F172" s="5">
        <v>1214</v>
      </c>
      <c r="G172" s="5">
        <v>1221</v>
      </c>
      <c r="H172" s="5">
        <v>460</v>
      </c>
      <c r="I172" s="5" t="s">
        <v>13</v>
      </c>
      <c r="J172" s="34">
        <v>25.005258767542696</v>
      </c>
      <c r="K172" s="10">
        <v>5</v>
      </c>
      <c r="L172" s="11">
        <v>144.19999999999999</v>
      </c>
      <c r="M172" s="31">
        <v>10</v>
      </c>
      <c r="N172" s="5">
        <v>37.799999999999997</v>
      </c>
      <c r="O172" s="5">
        <v>70742</v>
      </c>
      <c r="P172" s="5" t="s">
        <v>48</v>
      </c>
      <c r="Q172" s="5">
        <v>1</v>
      </c>
      <c r="R172" s="5">
        <v>4</v>
      </c>
      <c r="S172" s="5">
        <v>630</v>
      </c>
      <c r="T172" s="5">
        <v>1000</v>
      </c>
      <c r="U172" s="5">
        <v>1310</v>
      </c>
      <c r="V172" s="5">
        <f t="shared" si="8"/>
        <v>10.4</v>
      </c>
      <c r="W172" s="5" t="s">
        <v>10</v>
      </c>
      <c r="X172" s="5">
        <v>62</v>
      </c>
      <c r="Y172" s="5">
        <v>341.3</v>
      </c>
      <c r="Z172" s="5">
        <v>29</v>
      </c>
      <c r="AA172" s="5" t="s">
        <v>68</v>
      </c>
      <c r="AB172" s="5"/>
      <c r="AC172" s="5"/>
      <c r="AD172" s="5"/>
      <c r="AE172" s="5"/>
      <c r="AF172" s="5" t="s">
        <v>68</v>
      </c>
      <c r="AG172" s="5"/>
      <c r="AH172" s="12">
        <v>9498</v>
      </c>
      <c r="AI172" s="12"/>
      <c r="AJ172" s="12"/>
      <c r="AK172" s="12"/>
      <c r="AL172" s="12"/>
      <c r="AM172" s="12">
        <f t="shared" si="9"/>
        <v>9498</v>
      </c>
      <c r="AN172" s="12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</row>
    <row r="173" spans="1:240" s="2" customFormat="1" ht="30" customHeight="1">
      <c r="A173" s="5">
        <v>171</v>
      </c>
      <c r="B173" s="5" t="s">
        <v>68</v>
      </c>
      <c r="C173" s="5"/>
      <c r="D173" s="5"/>
      <c r="E173" s="5">
        <v>4815</v>
      </c>
      <c r="F173" s="5">
        <v>1214</v>
      </c>
      <c r="G173" s="5">
        <v>1221</v>
      </c>
      <c r="H173" s="5">
        <v>500</v>
      </c>
      <c r="I173" s="5" t="s">
        <v>13</v>
      </c>
      <c r="J173" s="34">
        <v>32.132277736655077</v>
      </c>
      <c r="K173" s="10">
        <v>5</v>
      </c>
      <c r="L173" s="11">
        <v>185.3</v>
      </c>
      <c r="M173" s="31">
        <v>10</v>
      </c>
      <c r="N173" s="5">
        <v>28.7</v>
      </c>
      <c r="O173" s="5">
        <v>68310</v>
      </c>
      <c r="P173" s="5" t="s">
        <v>48</v>
      </c>
      <c r="Q173" s="5">
        <v>1</v>
      </c>
      <c r="R173" s="5">
        <v>4</v>
      </c>
      <c r="S173" s="5">
        <v>630</v>
      </c>
      <c r="T173" s="5">
        <v>1000</v>
      </c>
      <c r="U173" s="5">
        <v>1310</v>
      </c>
      <c r="V173" s="5">
        <f t="shared" si="8"/>
        <v>10.4</v>
      </c>
      <c r="W173" s="5" t="s">
        <v>10</v>
      </c>
      <c r="X173" s="5">
        <v>62</v>
      </c>
      <c r="Y173" s="5">
        <v>512</v>
      </c>
      <c r="Z173" s="5">
        <v>44</v>
      </c>
      <c r="AA173" s="5" t="s">
        <v>68</v>
      </c>
      <c r="AB173" s="5"/>
      <c r="AC173" s="5"/>
      <c r="AD173" s="5"/>
      <c r="AE173" s="5"/>
      <c r="AF173" s="5" t="s">
        <v>68</v>
      </c>
      <c r="AG173" s="5"/>
      <c r="AH173" s="12">
        <v>10196</v>
      </c>
      <c r="AI173" s="12"/>
      <c r="AJ173" s="12"/>
      <c r="AK173" s="12"/>
      <c r="AL173" s="12"/>
      <c r="AM173" s="12">
        <f t="shared" si="9"/>
        <v>10196</v>
      </c>
      <c r="AN173" s="12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</row>
    <row r="174" spans="1:240" s="2" customFormat="1" ht="30" customHeight="1">
      <c r="A174" s="5">
        <v>172</v>
      </c>
      <c r="B174" s="5" t="s">
        <v>68</v>
      </c>
      <c r="C174" s="5"/>
      <c r="D174" s="5"/>
      <c r="E174" s="5">
        <v>4815</v>
      </c>
      <c r="F174" s="5">
        <v>1214</v>
      </c>
      <c r="G174" s="5">
        <v>1221</v>
      </c>
      <c r="H174" s="5">
        <v>540</v>
      </c>
      <c r="I174" s="5" t="s">
        <v>13</v>
      </c>
      <c r="J174" s="34">
        <v>36.848942358549401</v>
      </c>
      <c r="K174" s="10">
        <v>5</v>
      </c>
      <c r="L174" s="11">
        <v>212.5</v>
      </c>
      <c r="M174" s="31">
        <v>10</v>
      </c>
      <c r="N174" s="5">
        <v>22.1</v>
      </c>
      <c r="O174" s="5">
        <v>65736</v>
      </c>
      <c r="P174" s="5" t="s">
        <v>48</v>
      </c>
      <c r="Q174" s="5">
        <v>1</v>
      </c>
      <c r="R174" s="5">
        <v>4</v>
      </c>
      <c r="S174" s="5">
        <v>630</v>
      </c>
      <c r="T174" s="5">
        <v>1000</v>
      </c>
      <c r="U174" s="5">
        <v>1310</v>
      </c>
      <c r="V174" s="5">
        <f t="shared" si="8"/>
        <v>10.4</v>
      </c>
      <c r="W174" s="5" t="s">
        <v>10</v>
      </c>
      <c r="X174" s="5">
        <v>62</v>
      </c>
      <c r="Y174" s="5">
        <v>682.6</v>
      </c>
      <c r="Z174" s="5">
        <v>59</v>
      </c>
      <c r="AA174" s="5" t="s">
        <v>68</v>
      </c>
      <c r="AB174" s="5"/>
      <c r="AC174" s="5"/>
      <c r="AD174" s="5"/>
      <c r="AE174" s="5"/>
      <c r="AF174" s="5" t="s">
        <v>68</v>
      </c>
      <c r="AG174" s="5"/>
      <c r="AH174" s="12">
        <v>10979</v>
      </c>
      <c r="AI174" s="12"/>
      <c r="AJ174" s="12"/>
      <c r="AK174" s="12"/>
      <c r="AL174" s="12"/>
      <c r="AM174" s="12">
        <f t="shared" si="9"/>
        <v>10979</v>
      </c>
      <c r="AN174" s="12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</row>
    <row r="175" spans="1:240" s="2" customFormat="1" ht="30" customHeight="1">
      <c r="A175" s="5">
        <v>173</v>
      </c>
      <c r="B175" s="5" t="s">
        <v>68</v>
      </c>
      <c r="C175" s="5"/>
      <c r="D175" s="5"/>
      <c r="E175" s="5">
        <v>4815</v>
      </c>
      <c r="F175" s="5">
        <v>1214</v>
      </c>
      <c r="G175" s="5">
        <v>1221</v>
      </c>
      <c r="H175" s="5">
        <v>580</v>
      </c>
      <c r="I175" s="5" t="s">
        <v>13</v>
      </c>
      <c r="J175" s="34">
        <v>40.646551006324607</v>
      </c>
      <c r="K175" s="10">
        <v>5</v>
      </c>
      <c r="L175" s="11">
        <v>234.4</v>
      </c>
      <c r="M175" s="31">
        <v>10</v>
      </c>
      <c r="N175" s="5">
        <v>54.1</v>
      </c>
      <c r="O175" s="5">
        <v>63192</v>
      </c>
      <c r="P175" s="5" t="s">
        <v>48</v>
      </c>
      <c r="Q175" s="5">
        <v>1</v>
      </c>
      <c r="R175" s="5">
        <v>4</v>
      </c>
      <c r="S175" s="5">
        <v>630</v>
      </c>
      <c r="T175" s="5">
        <v>1000</v>
      </c>
      <c r="U175" s="5">
        <v>1310</v>
      </c>
      <c r="V175" s="5">
        <f t="shared" si="8"/>
        <v>10.4</v>
      </c>
      <c r="W175" s="5" t="s">
        <v>10</v>
      </c>
      <c r="X175" s="5">
        <v>62</v>
      </c>
      <c r="Y175" s="5">
        <v>853.3</v>
      </c>
      <c r="Z175" s="5">
        <v>74</v>
      </c>
      <c r="AA175" s="5" t="s">
        <v>68</v>
      </c>
      <c r="AB175" s="5"/>
      <c r="AC175" s="5"/>
      <c r="AD175" s="5"/>
      <c r="AE175" s="5"/>
      <c r="AF175" s="5" t="s">
        <v>68</v>
      </c>
      <c r="AG175" s="5"/>
      <c r="AH175" s="12" t="s">
        <v>48</v>
      </c>
      <c r="AI175" s="12"/>
      <c r="AJ175" s="12"/>
      <c r="AK175" s="12"/>
      <c r="AL175" s="12"/>
      <c r="AM175" s="12" t="str">
        <f t="shared" si="9"/>
        <v>_</v>
      </c>
      <c r="AN175" s="12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</row>
    <row r="176" spans="1:240" s="2" customFormat="1" ht="30" customHeight="1">
      <c r="A176" s="5">
        <v>174</v>
      </c>
      <c r="B176" s="5" t="s">
        <v>68</v>
      </c>
      <c r="C176" s="5"/>
      <c r="D176" s="5"/>
      <c r="E176" s="5">
        <v>1855</v>
      </c>
      <c r="F176" s="5">
        <v>1214</v>
      </c>
      <c r="G176" s="5">
        <v>1221</v>
      </c>
      <c r="H176" s="5">
        <v>145</v>
      </c>
      <c r="I176" s="5" t="s">
        <v>13</v>
      </c>
      <c r="J176" s="34">
        <v>7.1963816841402348</v>
      </c>
      <c r="K176" s="10">
        <v>5</v>
      </c>
      <c r="L176" s="11">
        <v>41.5</v>
      </c>
      <c r="M176" s="31">
        <v>10</v>
      </c>
      <c r="N176" s="5">
        <v>32.6</v>
      </c>
      <c r="O176" s="5">
        <v>18073</v>
      </c>
      <c r="P176" s="5" t="s">
        <v>48</v>
      </c>
      <c r="Q176" s="5">
        <v>1</v>
      </c>
      <c r="R176" s="5">
        <v>1</v>
      </c>
      <c r="S176" s="5">
        <v>630</v>
      </c>
      <c r="T176" s="5">
        <v>1000</v>
      </c>
      <c r="U176" s="5">
        <v>1310</v>
      </c>
      <c r="V176" s="5">
        <f t="shared" si="8"/>
        <v>2.6</v>
      </c>
      <c r="W176" s="5" t="s">
        <v>10</v>
      </c>
      <c r="X176" s="5">
        <v>56</v>
      </c>
      <c r="Y176" s="5">
        <v>88.2</v>
      </c>
      <c r="Z176" s="5">
        <v>8</v>
      </c>
      <c r="AA176" s="5" t="s">
        <v>68</v>
      </c>
      <c r="AB176" s="5"/>
      <c r="AC176" s="5"/>
      <c r="AD176" s="5"/>
      <c r="AE176" s="5"/>
      <c r="AF176" s="5" t="s">
        <v>68</v>
      </c>
      <c r="AG176" s="5"/>
      <c r="AH176" s="12">
        <v>3860</v>
      </c>
      <c r="AI176" s="12"/>
      <c r="AJ176" s="12"/>
      <c r="AK176" s="12"/>
      <c r="AL176" s="12"/>
      <c r="AM176" s="12">
        <f t="shared" si="9"/>
        <v>3860</v>
      </c>
      <c r="AN176" s="12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</row>
    <row r="177" spans="1:240" s="2" customFormat="1" ht="30" customHeight="1">
      <c r="A177" s="5">
        <v>175</v>
      </c>
      <c r="B177" s="5" t="s">
        <v>68</v>
      </c>
      <c r="C177" s="5"/>
      <c r="D177" s="5"/>
      <c r="E177" s="5">
        <v>1855</v>
      </c>
      <c r="F177" s="5">
        <v>1214</v>
      </c>
      <c r="G177" s="5">
        <v>1221</v>
      </c>
      <c r="H177" s="5">
        <v>160</v>
      </c>
      <c r="I177" s="5" t="s">
        <v>13</v>
      </c>
      <c r="J177" s="34">
        <v>9.155878383677214</v>
      </c>
      <c r="K177" s="10">
        <v>5</v>
      </c>
      <c r="L177" s="11">
        <v>52.8</v>
      </c>
      <c r="M177" s="31">
        <v>10</v>
      </c>
      <c r="N177" s="5">
        <v>24.3</v>
      </c>
      <c r="O177" s="5">
        <v>17748</v>
      </c>
      <c r="P177" s="5" t="s">
        <v>48</v>
      </c>
      <c r="Q177" s="5">
        <v>1</v>
      </c>
      <c r="R177" s="5">
        <v>1</v>
      </c>
      <c r="S177" s="5">
        <v>630</v>
      </c>
      <c r="T177" s="5">
        <v>1000</v>
      </c>
      <c r="U177" s="5">
        <v>1310</v>
      </c>
      <c r="V177" s="5">
        <f t="shared" si="8"/>
        <v>2.6</v>
      </c>
      <c r="W177" s="5" t="s">
        <v>10</v>
      </c>
      <c r="X177" s="5">
        <v>56</v>
      </c>
      <c r="Y177" s="5">
        <v>132.30000000000001</v>
      </c>
      <c r="Z177" s="5">
        <v>11</v>
      </c>
      <c r="AA177" s="5" t="s">
        <v>68</v>
      </c>
      <c r="AB177" s="5"/>
      <c r="AC177" s="5"/>
      <c r="AD177" s="5"/>
      <c r="AE177" s="5"/>
      <c r="AF177" s="5" t="s">
        <v>68</v>
      </c>
      <c r="AG177" s="5"/>
      <c r="AH177" s="12">
        <v>4169</v>
      </c>
      <c r="AI177" s="12"/>
      <c r="AJ177" s="12"/>
      <c r="AK177" s="12"/>
      <c r="AL177" s="12"/>
      <c r="AM177" s="12">
        <f t="shared" si="9"/>
        <v>4169</v>
      </c>
      <c r="AN177" s="12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</row>
    <row r="178" spans="1:240" s="2" customFormat="1" ht="30" customHeight="1">
      <c r="A178" s="5">
        <v>176</v>
      </c>
      <c r="B178" s="5" t="s">
        <v>68</v>
      </c>
      <c r="C178" s="5"/>
      <c r="D178" s="5"/>
      <c r="E178" s="5">
        <v>1855</v>
      </c>
      <c r="F178" s="5">
        <v>1214</v>
      </c>
      <c r="G178" s="5">
        <v>1221</v>
      </c>
      <c r="H178" s="5">
        <v>175</v>
      </c>
      <c r="I178" s="5" t="s">
        <v>13</v>
      </c>
      <c r="J178" s="34">
        <v>10.647176756776155</v>
      </c>
      <c r="K178" s="10">
        <v>5</v>
      </c>
      <c r="L178" s="11">
        <v>61.4</v>
      </c>
      <c r="M178" s="31">
        <v>10</v>
      </c>
      <c r="N178" s="5">
        <v>42.5</v>
      </c>
      <c r="O178" s="5">
        <v>17379</v>
      </c>
      <c r="P178" s="5" t="s">
        <v>48</v>
      </c>
      <c r="Q178" s="5">
        <v>1</v>
      </c>
      <c r="R178" s="5">
        <v>1</v>
      </c>
      <c r="S178" s="5">
        <v>630</v>
      </c>
      <c r="T178" s="5">
        <v>1000</v>
      </c>
      <c r="U178" s="5">
        <v>1310</v>
      </c>
      <c r="V178" s="5">
        <f t="shared" si="8"/>
        <v>2.6</v>
      </c>
      <c r="W178" s="5" t="s">
        <v>10</v>
      </c>
      <c r="X178" s="5">
        <v>56</v>
      </c>
      <c r="Y178" s="5">
        <v>176.5</v>
      </c>
      <c r="Z178" s="5">
        <v>15</v>
      </c>
      <c r="AA178" s="5" t="s">
        <v>68</v>
      </c>
      <c r="AB178" s="5"/>
      <c r="AC178" s="5"/>
      <c r="AD178" s="5"/>
      <c r="AE178" s="5"/>
      <c r="AF178" s="5" t="s">
        <v>68</v>
      </c>
      <c r="AG178" s="5"/>
      <c r="AH178" s="12">
        <v>4474</v>
      </c>
      <c r="AI178" s="12"/>
      <c r="AJ178" s="12"/>
      <c r="AK178" s="12"/>
      <c r="AL178" s="12"/>
      <c r="AM178" s="12">
        <f t="shared" si="9"/>
        <v>4474</v>
      </c>
      <c r="AN178" s="12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</row>
    <row r="179" spans="1:240" s="2" customFormat="1" ht="30" customHeight="1">
      <c r="A179" s="5">
        <v>177</v>
      </c>
      <c r="B179" s="5" t="s">
        <v>68</v>
      </c>
      <c r="C179" s="5"/>
      <c r="D179" s="5"/>
      <c r="E179" s="5">
        <v>1855</v>
      </c>
      <c r="F179" s="5">
        <v>1214</v>
      </c>
      <c r="G179" s="5">
        <v>1221</v>
      </c>
      <c r="H179" s="5">
        <v>190</v>
      </c>
      <c r="I179" s="5" t="s">
        <v>13</v>
      </c>
      <c r="J179" s="34">
        <v>11.479529337110449</v>
      </c>
      <c r="K179" s="10">
        <v>5</v>
      </c>
      <c r="L179" s="11">
        <v>66.2</v>
      </c>
      <c r="M179" s="31">
        <v>10</v>
      </c>
      <c r="N179" s="5">
        <v>36.700000000000003</v>
      </c>
      <c r="O179" s="5">
        <v>16984</v>
      </c>
      <c r="P179" s="5" t="s">
        <v>48</v>
      </c>
      <c r="Q179" s="5">
        <v>1</v>
      </c>
      <c r="R179" s="5">
        <v>1</v>
      </c>
      <c r="S179" s="5">
        <v>630</v>
      </c>
      <c r="T179" s="5">
        <v>1000</v>
      </c>
      <c r="U179" s="5">
        <v>1310</v>
      </c>
      <c r="V179" s="5">
        <f t="shared" si="8"/>
        <v>2.6</v>
      </c>
      <c r="W179" s="5" t="s">
        <v>10</v>
      </c>
      <c r="X179" s="5">
        <v>56</v>
      </c>
      <c r="Y179" s="5">
        <v>220.6</v>
      </c>
      <c r="Z179" s="5">
        <v>19</v>
      </c>
      <c r="AA179" s="5" t="s">
        <v>68</v>
      </c>
      <c r="AB179" s="5"/>
      <c r="AC179" s="5"/>
      <c r="AD179" s="5"/>
      <c r="AE179" s="5"/>
      <c r="AF179" s="5" t="s">
        <v>68</v>
      </c>
      <c r="AG179" s="5"/>
      <c r="AH179" s="12" t="s">
        <v>48</v>
      </c>
      <c r="AI179" s="12"/>
      <c r="AJ179" s="12"/>
      <c r="AK179" s="12"/>
      <c r="AL179" s="12"/>
      <c r="AM179" s="12" t="str">
        <f t="shared" si="9"/>
        <v>_</v>
      </c>
      <c r="AN179" s="12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</row>
    <row r="180" spans="1:240" s="2" customFormat="1" ht="30" customHeight="1">
      <c r="A180" s="5">
        <v>178</v>
      </c>
      <c r="B180" s="5" t="s">
        <v>68</v>
      </c>
      <c r="C180" s="5"/>
      <c r="D180" s="5"/>
      <c r="E180" s="5">
        <v>3255</v>
      </c>
      <c r="F180" s="5">
        <v>1214</v>
      </c>
      <c r="G180" s="5">
        <v>1221</v>
      </c>
      <c r="H180" s="5">
        <v>290</v>
      </c>
      <c r="I180" s="5" t="s">
        <v>13</v>
      </c>
      <c r="J180" s="34">
        <v>14.54882947709315</v>
      </c>
      <c r="K180" s="10">
        <v>5</v>
      </c>
      <c r="L180" s="11">
        <v>83.9</v>
      </c>
      <c r="M180" s="31">
        <v>10</v>
      </c>
      <c r="N180" s="5">
        <v>66.3</v>
      </c>
      <c r="O180" s="5">
        <v>36111</v>
      </c>
      <c r="P180" s="5" t="s">
        <v>48</v>
      </c>
      <c r="Q180" s="5">
        <v>1</v>
      </c>
      <c r="R180" s="5">
        <v>2</v>
      </c>
      <c r="S180" s="5">
        <v>630</v>
      </c>
      <c r="T180" s="5">
        <v>1000</v>
      </c>
      <c r="U180" s="5">
        <v>1310</v>
      </c>
      <c r="V180" s="5">
        <f t="shared" si="8"/>
        <v>5.2</v>
      </c>
      <c r="W180" s="5" t="s">
        <v>10</v>
      </c>
      <c r="X180" s="5">
        <v>59</v>
      </c>
      <c r="Y180" s="5">
        <v>172.6</v>
      </c>
      <c r="Z180" s="5">
        <v>15</v>
      </c>
      <c r="AA180" s="5" t="s">
        <v>68</v>
      </c>
      <c r="AB180" s="5"/>
      <c r="AC180" s="5"/>
      <c r="AD180" s="5"/>
      <c r="AE180" s="5"/>
      <c r="AF180" s="5" t="s">
        <v>68</v>
      </c>
      <c r="AG180" s="5"/>
      <c r="AH180" s="12">
        <v>5920</v>
      </c>
      <c r="AI180" s="12"/>
      <c r="AJ180" s="12"/>
      <c r="AK180" s="12"/>
      <c r="AL180" s="12"/>
      <c r="AM180" s="12">
        <f t="shared" si="9"/>
        <v>5920</v>
      </c>
      <c r="AN180" s="12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</row>
    <row r="181" spans="1:240" s="2" customFormat="1" ht="30" customHeight="1">
      <c r="A181" s="5">
        <v>179</v>
      </c>
      <c r="B181" s="5" t="s">
        <v>68</v>
      </c>
      <c r="C181" s="5"/>
      <c r="D181" s="5"/>
      <c r="E181" s="5">
        <v>3255</v>
      </c>
      <c r="F181" s="5">
        <v>1214</v>
      </c>
      <c r="G181" s="5">
        <v>1221</v>
      </c>
      <c r="H181" s="5">
        <v>320</v>
      </c>
      <c r="I181" s="5" t="s">
        <v>13</v>
      </c>
      <c r="J181" s="34">
        <v>18.519844912438003</v>
      </c>
      <c r="K181" s="10">
        <v>5</v>
      </c>
      <c r="L181" s="11">
        <v>106.8</v>
      </c>
      <c r="M181" s="31">
        <v>10</v>
      </c>
      <c r="N181" s="5">
        <v>52.8</v>
      </c>
      <c r="O181" s="5">
        <v>35434</v>
      </c>
      <c r="P181" s="5" t="s">
        <v>48</v>
      </c>
      <c r="Q181" s="5">
        <v>1</v>
      </c>
      <c r="R181" s="5">
        <v>2</v>
      </c>
      <c r="S181" s="5">
        <v>630</v>
      </c>
      <c r="T181" s="5">
        <v>1000</v>
      </c>
      <c r="U181" s="5">
        <v>1310</v>
      </c>
      <c r="V181" s="5">
        <f t="shared" si="8"/>
        <v>5.2</v>
      </c>
      <c r="W181" s="5" t="s">
        <v>10</v>
      </c>
      <c r="X181" s="5">
        <v>59</v>
      </c>
      <c r="Y181" s="5">
        <v>258.89999999999998</v>
      </c>
      <c r="Z181" s="5">
        <v>22</v>
      </c>
      <c r="AA181" s="5" t="s">
        <v>68</v>
      </c>
      <c r="AB181" s="5"/>
      <c r="AC181" s="5"/>
      <c r="AD181" s="5"/>
      <c r="AE181" s="5"/>
      <c r="AF181" s="5" t="s">
        <v>68</v>
      </c>
      <c r="AG181" s="5"/>
      <c r="AH181" s="12">
        <v>6721</v>
      </c>
      <c r="AI181" s="12"/>
      <c r="AJ181" s="12"/>
      <c r="AK181" s="12"/>
      <c r="AL181" s="12"/>
      <c r="AM181" s="12">
        <f t="shared" si="9"/>
        <v>6721</v>
      </c>
      <c r="AN181" s="12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</row>
    <row r="182" spans="1:240" s="2" customFormat="1" ht="30" customHeight="1">
      <c r="A182" s="5">
        <v>180</v>
      </c>
      <c r="B182" s="5" t="s">
        <v>68</v>
      </c>
      <c r="C182" s="5"/>
      <c r="D182" s="5"/>
      <c r="E182" s="5">
        <v>3255</v>
      </c>
      <c r="F182" s="5">
        <v>1214</v>
      </c>
      <c r="G182" s="5">
        <v>1221</v>
      </c>
      <c r="H182" s="5">
        <v>350</v>
      </c>
      <c r="I182" s="5" t="s">
        <v>13</v>
      </c>
      <c r="J182" s="34">
        <v>21.329034871066238</v>
      </c>
      <c r="K182" s="10">
        <v>5</v>
      </c>
      <c r="L182" s="11">
        <v>123</v>
      </c>
      <c r="M182" s="31">
        <v>10</v>
      </c>
      <c r="N182" s="5">
        <v>71.3</v>
      </c>
      <c r="O182" s="5">
        <v>34666</v>
      </c>
      <c r="P182" s="5" t="s">
        <v>48</v>
      </c>
      <c r="Q182" s="5">
        <v>1</v>
      </c>
      <c r="R182" s="5">
        <v>2</v>
      </c>
      <c r="S182" s="5">
        <v>630</v>
      </c>
      <c r="T182" s="5">
        <v>1000</v>
      </c>
      <c r="U182" s="5">
        <v>1310</v>
      </c>
      <c r="V182" s="5">
        <f t="shared" si="8"/>
        <v>5.2</v>
      </c>
      <c r="W182" s="5" t="s">
        <v>10</v>
      </c>
      <c r="X182" s="5">
        <v>59</v>
      </c>
      <c r="Y182" s="5">
        <v>345.2</v>
      </c>
      <c r="Z182" s="5">
        <v>30</v>
      </c>
      <c r="AA182" s="5" t="s">
        <v>68</v>
      </c>
      <c r="AB182" s="5"/>
      <c r="AC182" s="5"/>
      <c r="AD182" s="5"/>
      <c r="AE182" s="5"/>
      <c r="AF182" s="5" t="s">
        <v>68</v>
      </c>
      <c r="AG182" s="5"/>
      <c r="AH182" s="12">
        <v>7262</v>
      </c>
      <c r="AI182" s="12"/>
      <c r="AJ182" s="12"/>
      <c r="AK182" s="12"/>
      <c r="AL182" s="12"/>
      <c r="AM182" s="12">
        <f t="shared" si="9"/>
        <v>7262</v>
      </c>
      <c r="AN182" s="12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</row>
    <row r="183" spans="1:240" s="2" customFormat="1" ht="30" customHeight="1">
      <c r="A183" s="5">
        <v>181</v>
      </c>
      <c r="B183" s="5" t="s">
        <v>68</v>
      </c>
      <c r="C183" s="5"/>
      <c r="D183" s="5"/>
      <c r="E183" s="5">
        <v>3255</v>
      </c>
      <c r="F183" s="5">
        <v>1214</v>
      </c>
      <c r="G183" s="5">
        <v>1221</v>
      </c>
      <c r="H183" s="5">
        <v>380</v>
      </c>
      <c r="I183" s="5" t="s">
        <v>13</v>
      </c>
      <c r="J183" s="34">
        <v>22.959058674220898</v>
      </c>
      <c r="K183" s="10">
        <v>5</v>
      </c>
      <c r="L183" s="11">
        <v>132.4</v>
      </c>
      <c r="M183" s="31">
        <v>10</v>
      </c>
      <c r="N183" s="5">
        <v>54.6</v>
      </c>
      <c r="O183" s="5">
        <v>33848</v>
      </c>
      <c r="P183" s="5" t="s">
        <v>48</v>
      </c>
      <c r="Q183" s="5">
        <v>1</v>
      </c>
      <c r="R183" s="5">
        <v>2</v>
      </c>
      <c r="S183" s="5">
        <v>630</v>
      </c>
      <c r="T183" s="5">
        <v>1000</v>
      </c>
      <c r="U183" s="5">
        <v>1310</v>
      </c>
      <c r="V183" s="5">
        <f t="shared" si="8"/>
        <v>5.2</v>
      </c>
      <c r="W183" s="5" t="s">
        <v>10</v>
      </c>
      <c r="X183" s="5">
        <v>59</v>
      </c>
      <c r="Y183" s="5">
        <v>431.5</v>
      </c>
      <c r="Z183" s="5">
        <v>37</v>
      </c>
      <c r="AA183" s="5" t="s">
        <v>68</v>
      </c>
      <c r="AB183" s="5"/>
      <c r="AC183" s="5"/>
      <c r="AD183" s="5"/>
      <c r="AE183" s="5"/>
      <c r="AF183" s="5" t="s">
        <v>68</v>
      </c>
      <c r="AG183" s="5"/>
      <c r="AH183" s="12" t="s">
        <v>48</v>
      </c>
      <c r="AI183" s="12"/>
      <c r="AJ183" s="12"/>
      <c r="AK183" s="12"/>
      <c r="AL183" s="12"/>
      <c r="AM183" s="12" t="str">
        <f t="shared" si="9"/>
        <v>_</v>
      </c>
      <c r="AN183" s="12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</row>
    <row r="184" spans="1:240" s="2" customFormat="1" ht="30" customHeight="1">
      <c r="A184" s="5">
        <v>182</v>
      </c>
      <c r="B184" s="5" t="s">
        <v>68</v>
      </c>
      <c r="C184" s="5"/>
      <c r="D184" s="5"/>
      <c r="E184" s="5">
        <v>4655</v>
      </c>
      <c r="F184" s="5">
        <v>1214</v>
      </c>
      <c r="G184" s="5">
        <v>1221</v>
      </c>
      <c r="H184" s="5">
        <v>435</v>
      </c>
      <c r="I184" s="5" t="s">
        <v>13</v>
      </c>
      <c r="J184" s="34">
        <v>21.883936591289103</v>
      </c>
      <c r="K184" s="10">
        <v>5</v>
      </c>
      <c r="L184" s="11">
        <v>126.2</v>
      </c>
      <c r="M184" s="31">
        <v>10</v>
      </c>
      <c r="N184" s="5">
        <v>89.1</v>
      </c>
      <c r="O184" s="5">
        <v>54148</v>
      </c>
      <c r="P184" s="5" t="s">
        <v>48</v>
      </c>
      <c r="Q184" s="5">
        <v>1</v>
      </c>
      <c r="R184" s="5">
        <v>3</v>
      </c>
      <c r="S184" s="5">
        <v>630</v>
      </c>
      <c r="T184" s="5">
        <v>1000</v>
      </c>
      <c r="U184" s="5">
        <v>1310</v>
      </c>
      <c r="V184" s="5">
        <f t="shared" si="8"/>
        <v>7.8000000000000007</v>
      </c>
      <c r="W184" s="5" t="s">
        <v>10</v>
      </c>
      <c r="X184" s="5">
        <v>61</v>
      </c>
      <c r="Y184" s="5">
        <v>256.89999999999998</v>
      </c>
      <c r="Z184" s="5">
        <v>22</v>
      </c>
      <c r="AA184" s="5" t="s">
        <v>68</v>
      </c>
      <c r="AB184" s="5"/>
      <c r="AC184" s="5"/>
      <c r="AD184" s="5"/>
      <c r="AE184" s="5"/>
      <c r="AF184" s="5" t="s">
        <v>68</v>
      </c>
      <c r="AG184" s="5"/>
      <c r="AH184" s="12">
        <v>7701</v>
      </c>
      <c r="AI184" s="12"/>
      <c r="AJ184" s="12"/>
      <c r="AK184" s="12"/>
      <c r="AL184" s="12"/>
      <c r="AM184" s="12">
        <f t="shared" si="9"/>
        <v>7701</v>
      </c>
      <c r="AN184" s="12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</row>
    <row r="185" spans="1:240" s="2" customFormat="1" ht="30" customHeight="1">
      <c r="A185" s="5">
        <v>183</v>
      </c>
      <c r="B185" s="5" t="s">
        <v>68</v>
      </c>
      <c r="C185" s="5"/>
      <c r="D185" s="5"/>
      <c r="E185" s="5">
        <v>4655</v>
      </c>
      <c r="F185" s="5">
        <v>1214</v>
      </c>
      <c r="G185" s="5">
        <v>1221</v>
      </c>
      <c r="H185" s="5">
        <v>480</v>
      </c>
      <c r="I185" s="5" t="s">
        <v>13</v>
      </c>
      <c r="J185" s="34">
        <v>27.866470762441825</v>
      </c>
      <c r="K185" s="10">
        <v>5</v>
      </c>
      <c r="L185" s="11">
        <v>160.69999999999999</v>
      </c>
      <c r="M185" s="31">
        <v>10</v>
      </c>
      <c r="N185" s="5">
        <v>67</v>
      </c>
      <c r="O185" s="5">
        <v>53118</v>
      </c>
      <c r="P185" s="5" t="s">
        <v>48</v>
      </c>
      <c r="Q185" s="5">
        <v>1</v>
      </c>
      <c r="R185" s="5">
        <v>3</v>
      </c>
      <c r="S185" s="5">
        <v>630</v>
      </c>
      <c r="T185" s="5">
        <v>1000</v>
      </c>
      <c r="U185" s="5">
        <v>1310</v>
      </c>
      <c r="V185" s="5">
        <f t="shared" si="8"/>
        <v>7.8000000000000007</v>
      </c>
      <c r="W185" s="5" t="s">
        <v>10</v>
      </c>
      <c r="X185" s="5">
        <v>61</v>
      </c>
      <c r="Y185" s="5">
        <v>385.4</v>
      </c>
      <c r="Z185" s="5">
        <v>33</v>
      </c>
      <c r="AA185" s="5" t="s">
        <v>68</v>
      </c>
      <c r="AB185" s="5"/>
      <c r="AC185" s="5"/>
      <c r="AD185" s="5"/>
      <c r="AE185" s="5"/>
      <c r="AF185" s="5" t="s">
        <v>68</v>
      </c>
      <c r="AG185" s="5"/>
      <c r="AH185" s="12">
        <v>8360</v>
      </c>
      <c r="AI185" s="12"/>
      <c r="AJ185" s="12"/>
      <c r="AK185" s="12"/>
      <c r="AL185" s="12"/>
      <c r="AM185" s="12">
        <f t="shared" si="9"/>
        <v>8360</v>
      </c>
      <c r="AN185" s="12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</row>
    <row r="186" spans="1:240" s="2" customFormat="1" ht="30" customHeight="1">
      <c r="A186" s="5">
        <v>184</v>
      </c>
      <c r="B186" s="5" t="s">
        <v>68</v>
      </c>
      <c r="C186" s="5"/>
      <c r="D186" s="5"/>
      <c r="E186" s="5">
        <v>4655</v>
      </c>
      <c r="F186" s="5">
        <v>1214</v>
      </c>
      <c r="G186" s="5">
        <v>1221</v>
      </c>
      <c r="H186" s="5">
        <v>525</v>
      </c>
      <c r="I186" s="5" t="s">
        <v>13</v>
      </c>
      <c r="J186" s="34">
        <v>31.733442125244892</v>
      </c>
      <c r="K186" s="10">
        <v>5</v>
      </c>
      <c r="L186" s="11">
        <v>183</v>
      </c>
      <c r="M186" s="31">
        <v>10</v>
      </c>
      <c r="N186" s="5">
        <v>50.5</v>
      </c>
      <c r="O186" s="5">
        <v>51951</v>
      </c>
      <c r="P186" s="5" t="s">
        <v>48</v>
      </c>
      <c r="Q186" s="5">
        <v>1</v>
      </c>
      <c r="R186" s="5">
        <v>3</v>
      </c>
      <c r="S186" s="5">
        <v>630</v>
      </c>
      <c r="T186" s="5">
        <v>1000</v>
      </c>
      <c r="U186" s="5">
        <v>1310</v>
      </c>
      <c r="V186" s="5">
        <f t="shared" si="8"/>
        <v>7.8000000000000007</v>
      </c>
      <c r="W186" s="5" t="s">
        <v>10</v>
      </c>
      <c r="X186" s="5">
        <v>61</v>
      </c>
      <c r="Y186" s="5">
        <v>513.9</v>
      </c>
      <c r="Z186" s="5">
        <v>44</v>
      </c>
      <c r="AA186" s="5" t="s">
        <v>68</v>
      </c>
      <c r="AB186" s="5"/>
      <c r="AC186" s="5"/>
      <c r="AD186" s="5"/>
      <c r="AE186" s="5"/>
      <c r="AF186" s="5" t="s">
        <v>68</v>
      </c>
      <c r="AG186" s="5"/>
      <c r="AH186" s="12">
        <v>9086</v>
      </c>
      <c r="AI186" s="12"/>
      <c r="AJ186" s="12"/>
      <c r="AK186" s="12"/>
      <c r="AL186" s="12"/>
      <c r="AM186" s="12">
        <f t="shared" si="9"/>
        <v>9086</v>
      </c>
      <c r="AN186" s="12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</row>
    <row r="187" spans="1:240" s="2" customFormat="1" ht="30" customHeight="1">
      <c r="A187" s="5">
        <v>185</v>
      </c>
      <c r="B187" s="5" t="s">
        <v>68</v>
      </c>
      <c r="C187" s="5"/>
      <c r="D187" s="5"/>
      <c r="E187" s="5">
        <v>4655</v>
      </c>
      <c r="F187" s="5">
        <v>1214</v>
      </c>
      <c r="G187" s="5">
        <v>1221</v>
      </c>
      <c r="H187" s="5">
        <v>570</v>
      </c>
      <c r="I187" s="5" t="s">
        <v>13</v>
      </c>
      <c r="J187" s="34">
        <v>34.178477829976877</v>
      </c>
      <c r="K187" s="10">
        <v>5</v>
      </c>
      <c r="L187" s="11">
        <v>197.1</v>
      </c>
      <c r="M187" s="31">
        <v>10</v>
      </c>
      <c r="N187" s="5">
        <v>38.700000000000003</v>
      </c>
      <c r="O187" s="5">
        <v>50709</v>
      </c>
      <c r="P187" s="5" t="s">
        <v>48</v>
      </c>
      <c r="Q187" s="5">
        <v>1</v>
      </c>
      <c r="R187" s="5">
        <v>3</v>
      </c>
      <c r="S187" s="5">
        <v>630</v>
      </c>
      <c r="T187" s="5">
        <v>1000</v>
      </c>
      <c r="U187" s="5">
        <v>1310</v>
      </c>
      <c r="V187" s="5">
        <f t="shared" si="8"/>
        <v>7.8000000000000007</v>
      </c>
      <c r="W187" s="5" t="s">
        <v>10</v>
      </c>
      <c r="X187" s="5">
        <v>61</v>
      </c>
      <c r="Y187" s="5">
        <v>642.4</v>
      </c>
      <c r="Z187" s="5">
        <v>55</v>
      </c>
      <c r="AA187" s="5" t="s">
        <v>68</v>
      </c>
      <c r="AB187" s="5"/>
      <c r="AC187" s="5"/>
      <c r="AD187" s="5"/>
      <c r="AE187" s="5"/>
      <c r="AF187" s="5" t="s">
        <v>68</v>
      </c>
      <c r="AG187" s="5"/>
      <c r="AH187" s="12" t="s">
        <v>48</v>
      </c>
      <c r="AI187" s="12"/>
      <c r="AJ187" s="12"/>
      <c r="AK187" s="12"/>
      <c r="AL187" s="12"/>
      <c r="AM187" s="12" t="str">
        <f t="shared" si="9"/>
        <v>_</v>
      </c>
      <c r="AN187" s="12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</row>
    <row r="188" spans="1:240" s="2" customFormat="1" ht="30" customHeight="1">
      <c r="A188" s="5">
        <v>186</v>
      </c>
      <c r="B188" s="5" t="s">
        <v>68</v>
      </c>
      <c r="C188" s="5"/>
      <c r="D188" s="5"/>
      <c r="E188" s="5">
        <v>2205</v>
      </c>
      <c r="F188" s="5">
        <v>1454</v>
      </c>
      <c r="G188" s="5">
        <v>1252</v>
      </c>
      <c r="H188" s="5">
        <v>180</v>
      </c>
      <c r="I188" s="5" t="s">
        <v>13</v>
      </c>
      <c r="J188" s="34">
        <v>9.7974834976848975</v>
      </c>
      <c r="K188" s="10">
        <v>5</v>
      </c>
      <c r="L188" s="11">
        <v>56.5</v>
      </c>
      <c r="M188" s="31">
        <v>10</v>
      </c>
      <c r="N188" s="5">
        <v>49</v>
      </c>
      <c r="O188" s="5">
        <v>22304</v>
      </c>
      <c r="P188" s="5" t="s">
        <v>48</v>
      </c>
      <c r="Q188" s="5">
        <v>1</v>
      </c>
      <c r="R188" s="5">
        <v>1</v>
      </c>
      <c r="S188" s="5">
        <v>800</v>
      </c>
      <c r="T188" s="5">
        <v>660</v>
      </c>
      <c r="U188" s="5">
        <v>880</v>
      </c>
      <c r="V188" s="5">
        <f t="shared" ref="V188:V207" si="10">2*R188</f>
        <v>2</v>
      </c>
      <c r="W188" s="5" t="s">
        <v>10</v>
      </c>
      <c r="X188" s="5">
        <v>51</v>
      </c>
      <c r="Y188" s="5">
        <v>167.2</v>
      </c>
      <c r="Z188" s="5">
        <v>14</v>
      </c>
      <c r="AA188" s="5" t="s">
        <v>68</v>
      </c>
      <c r="AB188" s="5"/>
      <c r="AC188" s="5"/>
      <c r="AD188" s="5"/>
      <c r="AE188" s="5"/>
      <c r="AF188" s="5" t="s">
        <v>68</v>
      </c>
      <c r="AG188" s="5"/>
      <c r="AH188" s="12">
        <v>4770</v>
      </c>
      <c r="AI188" s="12"/>
      <c r="AJ188" s="12"/>
      <c r="AK188" s="12"/>
      <c r="AL188" s="12"/>
      <c r="AM188" s="12">
        <f t="shared" si="9"/>
        <v>4770</v>
      </c>
      <c r="AN188" s="12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</row>
    <row r="189" spans="1:240" s="2" customFormat="1" ht="30" customHeight="1">
      <c r="A189" s="5">
        <v>187</v>
      </c>
      <c r="B189" s="5" t="s">
        <v>68</v>
      </c>
      <c r="C189" s="5"/>
      <c r="D189" s="5"/>
      <c r="E189" s="5">
        <v>2205</v>
      </c>
      <c r="F189" s="5">
        <v>1454</v>
      </c>
      <c r="G189" s="5">
        <v>1252</v>
      </c>
      <c r="H189" s="5">
        <v>200</v>
      </c>
      <c r="I189" s="5" t="s">
        <v>13</v>
      </c>
      <c r="J189" s="34">
        <v>12.173156487389026</v>
      </c>
      <c r="K189" s="10">
        <v>5</v>
      </c>
      <c r="L189" s="11">
        <v>70.2</v>
      </c>
      <c r="M189" s="31">
        <v>10</v>
      </c>
      <c r="N189" s="5">
        <v>35.299999999999997</v>
      </c>
      <c r="O189" s="5">
        <v>21676</v>
      </c>
      <c r="P189" s="5" t="s">
        <v>48</v>
      </c>
      <c r="Q189" s="5">
        <v>1</v>
      </c>
      <c r="R189" s="5">
        <v>1</v>
      </c>
      <c r="S189" s="5">
        <v>800</v>
      </c>
      <c r="T189" s="5">
        <v>660</v>
      </c>
      <c r="U189" s="5">
        <v>880</v>
      </c>
      <c r="V189" s="5">
        <f t="shared" si="10"/>
        <v>2</v>
      </c>
      <c r="W189" s="5" t="s">
        <v>10</v>
      </c>
      <c r="X189" s="5">
        <v>51</v>
      </c>
      <c r="Y189" s="5">
        <v>250.8</v>
      </c>
      <c r="Z189" s="5">
        <v>22</v>
      </c>
      <c r="AA189" s="5" t="s">
        <v>68</v>
      </c>
      <c r="AB189" s="5"/>
      <c r="AC189" s="5"/>
      <c r="AD189" s="5"/>
      <c r="AE189" s="5"/>
      <c r="AF189" s="5" t="s">
        <v>68</v>
      </c>
      <c r="AG189" s="5"/>
      <c r="AH189" s="12">
        <v>5143</v>
      </c>
      <c r="AI189" s="12"/>
      <c r="AJ189" s="12"/>
      <c r="AK189" s="12"/>
      <c r="AL189" s="12"/>
      <c r="AM189" s="12">
        <f t="shared" si="9"/>
        <v>5143</v>
      </c>
      <c r="AN189" s="12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</row>
    <row r="190" spans="1:240" s="2" customFormat="1" ht="30" customHeight="1">
      <c r="A190" s="5">
        <v>188</v>
      </c>
      <c r="B190" s="5" t="s">
        <v>68</v>
      </c>
      <c r="C190" s="5"/>
      <c r="D190" s="5"/>
      <c r="E190" s="5">
        <v>2205</v>
      </c>
      <c r="F190" s="5">
        <v>1454</v>
      </c>
      <c r="G190" s="5">
        <v>1252</v>
      </c>
      <c r="H190" s="5">
        <v>220</v>
      </c>
      <c r="I190" s="5" t="s">
        <v>13</v>
      </c>
      <c r="J190" s="34">
        <v>13.785839611786715</v>
      </c>
      <c r="K190" s="10">
        <v>5</v>
      </c>
      <c r="L190" s="11">
        <v>79.5</v>
      </c>
      <c r="M190" s="31">
        <v>10</v>
      </c>
      <c r="N190" s="5">
        <v>58.3</v>
      </c>
      <c r="O190" s="5">
        <v>21055</v>
      </c>
      <c r="P190" s="5" t="s">
        <v>48</v>
      </c>
      <c r="Q190" s="5">
        <v>1</v>
      </c>
      <c r="R190" s="5">
        <v>1</v>
      </c>
      <c r="S190" s="5">
        <v>800</v>
      </c>
      <c r="T190" s="5">
        <v>660</v>
      </c>
      <c r="U190" s="5">
        <v>880</v>
      </c>
      <c r="V190" s="5">
        <f t="shared" si="10"/>
        <v>2</v>
      </c>
      <c r="W190" s="5" t="s">
        <v>10</v>
      </c>
      <c r="X190" s="5">
        <v>51</v>
      </c>
      <c r="Y190" s="5">
        <v>334.3</v>
      </c>
      <c r="Z190" s="5">
        <v>29</v>
      </c>
      <c r="AA190" s="5" t="s">
        <v>68</v>
      </c>
      <c r="AB190" s="5"/>
      <c r="AC190" s="5"/>
      <c r="AD190" s="5"/>
      <c r="AE190" s="5"/>
      <c r="AF190" s="5" t="s">
        <v>68</v>
      </c>
      <c r="AG190" s="5"/>
      <c r="AH190" s="12">
        <v>5590</v>
      </c>
      <c r="AI190" s="12"/>
      <c r="AJ190" s="12"/>
      <c r="AK190" s="12"/>
      <c r="AL190" s="12"/>
      <c r="AM190" s="12">
        <f t="shared" si="9"/>
        <v>5590</v>
      </c>
      <c r="AN190" s="12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</row>
    <row r="191" spans="1:240" s="2" customFormat="1" ht="30" customHeight="1">
      <c r="A191" s="5">
        <v>189</v>
      </c>
      <c r="B191" s="5" t="s">
        <v>68</v>
      </c>
      <c r="C191" s="5"/>
      <c r="D191" s="5"/>
      <c r="E191" s="5">
        <v>2205</v>
      </c>
      <c r="F191" s="5">
        <v>1454</v>
      </c>
      <c r="G191" s="5">
        <v>1252</v>
      </c>
      <c r="H191" s="5">
        <v>240</v>
      </c>
      <c r="I191" s="5" t="s">
        <v>13</v>
      </c>
      <c r="J191" s="34">
        <v>14.618192192121006</v>
      </c>
      <c r="K191" s="10">
        <v>5</v>
      </c>
      <c r="L191" s="11">
        <v>84.3</v>
      </c>
      <c r="M191" s="31">
        <v>10</v>
      </c>
      <c r="N191" s="5">
        <v>46.5</v>
      </c>
      <c r="O191" s="5">
        <v>20452</v>
      </c>
      <c r="P191" s="5" t="s">
        <v>48</v>
      </c>
      <c r="Q191" s="5">
        <v>1</v>
      </c>
      <c r="R191" s="5">
        <v>1</v>
      </c>
      <c r="S191" s="5">
        <v>800</v>
      </c>
      <c r="T191" s="5">
        <v>660</v>
      </c>
      <c r="U191" s="5">
        <v>880</v>
      </c>
      <c r="V191" s="5">
        <f t="shared" si="10"/>
        <v>2</v>
      </c>
      <c r="W191" s="5" t="s">
        <v>10</v>
      </c>
      <c r="X191" s="5">
        <v>51</v>
      </c>
      <c r="Y191" s="5">
        <v>417.9</v>
      </c>
      <c r="Z191" s="5">
        <v>36</v>
      </c>
      <c r="AA191" s="5" t="s">
        <v>68</v>
      </c>
      <c r="AB191" s="5"/>
      <c r="AC191" s="5"/>
      <c r="AD191" s="5"/>
      <c r="AE191" s="5"/>
      <c r="AF191" s="5" t="s">
        <v>68</v>
      </c>
      <c r="AG191" s="5"/>
      <c r="AH191" s="12" t="s">
        <v>48</v>
      </c>
      <c r="AI191" s="12"/>
      <c r="AJ191" s="12"/>
      <c r="AK191" s="12"/>
      <c r="AL191" s="12"/>
      <c r="AM191" s="12" t="str">
        <f t="shared" si="9"/>
        <v>_</v>
      </c>
      <c r="AN191" s="12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</row>
    <row r="192" spans="1:240" s="2" customFormat="1" ht="30" customHeight="1">
      <c r="A192" s="5">
        <v>190</v>
      </c>
      <c r="B192" s="5" t="s">
        <v>68</v>
      </c>
      <c r="C192" s="5"/>
      <c r="D192" s="5"/>
      <c r="E192" s="5">
        <v>3955</v>
      </c>
      <c r="F192" s="5">
        <v>1454</v>
      </c>
      <c r="G192" s="5">
        <v>1252</v>
      </c>
      <c r="H192" s="5">
        <v>360</v>
      </c>
      <c r="I192" s="5" t="s">
        <v>13</v>
      </c>
      <c r="J192" s="34">
        <v>19.421560207800152</v>
      </c>
      <c r="K192" s="10">
        <v>5</v>
      </c>
      <c r="L192" s="11">
        <v>112</v>
      </c>
      <c r="M192" s="31">
        <v>10</v>
      </c>
      <c r="N192" s="5">
        <v>44.1</v>
      </c>
      <c r="O192" s="5">
        <v>44548</v>
      </c>
      <c r="P192" s="5" t="s">
        <v>48</v>
      </c>
      <c r="Q192" s="5">
        <v>1</v>
      </c>
      <c r="R192" s="5">
        <v>2</v>
      </c>
      <c r="S192" s="5">
        <v>800</v>
      </c>
      <c r="T192" s="5">
        <v>660</v>
      </c>
      <c r="U192" s="5">
        <v>880</v>
      </c>
      <c r="V192" s="5">
        <f t="shared" si="10"/>
        <v>4</v>
      </c>
      <c r="W192" s="5" t="s">
        <v>10</v>
      </c>
      <c r="X192" s="5">
        <v>54</v>
      </c>
      <c r="Y192" s="5">
        <v>329.7</v>
      </c>
      <c r="Z192" s="5">
        <v>28</v>
      </c>
      <c r="AA192" s="5" t="s">
        <v>68</v>
      </c>
      <c r="AB192" s="5"/>
      <c r="AC192" s="5"/>
      <c r="AD192" s="5"/>
      <c r="AE192" s="5"/>
      <c r="AF192" s="5" t="s">
        <v>68</v>
      </c>
      <c r="AG192" s="5"/>
      <c r="AH192" s="12">
        <v>7542</v>
      </c>
      <c r="AI192" s="12"/>
      <c r="AJ192" s="12"/>
      <c r="AK192" s="12"/>
      <c r="AL192" s="12"/>
      <c r="AM192" s="12">
        <f t="shared" si="9"/>
        <v>7542</v>
      </c>
      <c r="AN192" s="12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</row>
    <row r="193" spans="1:240" s="2" customFormat="1" ht="30" customHeight="1">
      <c r="A193" s="5">
        <v>191</v>
      </c>
      <c r="B193" s="5" t="s">
        <v>68</v>
      </c>
      <c r="C193" s="5"/>
      <c r="D193" s="5"/>
      <c r="E193" s="5">
        <v>3955</v>
      </c>
      <c r="F193" s="5">
        <v>1454</v>
      </c>
      <c r="G193" s="5">
        <v>1252</v>
      </c>
      <c r="H193" s="5">
        <v>400</v>
      </c>
      <c r="I193" s="5" t="s">
        <v>13</v>
      </c>
      <c r="J193" s="34">
        <v>24.537060441104657</v>
      </c>
      <c r="K193" s="10">
        <v>5</v>
      </c>
      <c r="L193" s="11">
        <v>141.5</v>
      </c>
      <c r="M193" s="31">
        <v>10</v>
      </c>
      <c r="N193" s="5">
        <v>72.7</v>
      </c>
      <c r="O193" s="5">
        <v>43262</v>
      </c>
      <c r="P193" s="5" t="s">
        <v>48</v>
      </c>
      <c r="Q193" s="5">
        <v>1</v>
      </c>
      <c r="R193" s="5">
        <v>2</v>
      </c>
      <c r="S193" s="5">
        <v>800</v>
      </c>
      <c r="T193" s="5">
        <v>660</v>
      </c>
      <c r="U193" s="5">
        <v>880</v>
      </c>
      <c r="V193" s="5">
        <f t="shared" si="10"/>
        <v>4</v>
      </c>
      <c r="W193" s="5" t="s">
        <v>10</v>
      </c>
      <c r="X193" s="5">
        <v>54</v>
      </c>
      <c r="Y193" s="5">
        <v>494.5</v>
      </c>
      <c r="Z193" s="5">
        <v>43</v>
      </c>
      <c r="AA193" s="5" t="s">
        <v>68</v>
      </c>
      <c r="AB193" s="5"/>
      <c r="AC193" s="5"/>
      <c r="AD193" s="5"/>
      <c r="AE193" s="5"/>
      <c r="AF193" s="5" t="s">
        <v>68</v>
      </c>
      <c r="AG193" s="5"/>
      <c r="AH193" s="12">
        <v>8169</v>
      </c>
      <c r="AI193" s="12"/>
      <c r="AJ193" s="12"/>
      <c r="AK193" s="12"/>
      <c r="AL193" s="12"/>
      <c r="AM193" s="12">
        <f t="shared" si="9"/>
        <v>8169</v>
      </c>
      <c r="AN193" s="12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</row>
    <row r="194" spans="1:240" s="2" customFormat="1" ht="30" customHeight="1">
      <c r="A194" s="5">
        <v>192</v>
      </c>
      <c r="B194" s="5" t="s">
        <v>68</v>
      </c>
      <c r="C194" s="5"/>
      <c r="D194" s="5"/>
      <c r="E194" s="5">
        <v>3955</v>
      </c>
      <c r="F194" s="5">
        <v>1454</v>
      </c>
      <c r="G194" s="5">
        <v>1252</v>
      </c>
      <c r="H194" s="5">
        <v>440</v>
      </c>
      <c r="I194" s="5" t="s">
        <v>13</v>
      </c>
      <c r="J194" s="34">
        <v>27.398272436003786</v>
      </c>
      <c r="K194" s="10">
        <v>5</v>
      </c>
      <c r="L194" s="11">
        <v>158</v>
      </c>
      <c r="M194" s="31">
        <v>10</v>
      </c>
      <c r="N194" s="5">
        <v>52.7</v>
      </c>
      <c r="O194" s="5">
        <v>41993</v>
      </c>
      <c r="P194" s="5" t="s">
        <v>48</v>
      </c>
      <c r="Q194" s="5">
        <v>1</v>
      </c>
      <c r="R194" s="5">
        <v>2</v>
      </c>
      <c r="S194" s="5">
        <v>800</v>
      </c>
      <c r="T194" s="5">
        <v>660</v>
      </c>
      <c r="U194" s="5">
        <v>880</v>
      </c>
      <c r="V194" s="5">
        <f t="shared" si="10"/>
        <v>4</v>
      </c>
      <c r="W194" s="5" t="s">
        <v>10</v>
      </c>
      <c r="X194" s="5">
        <v>54</v>
      </c>
      <c r="Y194" s="5">
        <v>659.4</v>
      </c>
      <c r="Z194" s="5">
        <v>57</v>
      </c>
      <c r="AA194" s="5" t="s">
        <v>68</v>
      </c>
      <c r="AB194" s="5"/>
      <c r="AC194" s="5"/>
      <c r="AD194" s="5"/>
      <c r="AE194" s="5"/>
      <c r="AF194" s="5" t="s">
        <v>68</v>
      </c>
      <c r="AG194" s="5"/>
      <c r="AH194" s="12">
        <v>9316</v>
      </c>
      <c r="AI194" s="12"/>
      <c r="AJ194" s="12"/>
      <c r="AK194" s="12"/>
      <c r="AL194" s="12"/>
      <c r="AM194" s="12">
        <f t="shared" si="9"/>
        <v>9316</v>
      </c>
      <c r="AN194" s="12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</row>
    <row r="195" spans="1:240" s="2" customFormat="1" ht="30" customHeight="1">
      <c r="A195" s="5">
        <v>193</v>
      </c>
      <c r="B195" s="5" t="s">
        <v>68</v>
      </c>
      <c r="C195" s="5"/>
      <c r="D195" s="5"/>
      <c r="E195" s="5">
        <v>3955</v>
      </c>
      <c r="F195" s="5">
        <v>1454</v>
      </c>
      <c r="G195" s="5">
        <v>1252</v>
      </c>
      <c r="H195" s="5">
        <v>480</v>
      </c>
      <c r="I195" s="5" t="s">
        <v>13</v>
      </c>
      <c r="J195" s="34">
        <v>29.236384384242012</v>
      </c>
      <c r="K195" s="10">
        <v>5</v>
      </c>
      <c r="L195" s="11">
        <v>168.6</v>
      </c>
      <c r="M195" s="31">
        <v>10</v>
      </c>
      <c r="N195" s="5">
        <v>74.3</v>
      </c>
      <c r="O195" s="5">
        <v>40762</v>
      </c>
      <c r="P195" s="5" t="s">
        <v>48</v>
      </c>
      <c r="Q195" s="5">
        <v>1</v>
      </c>
      <c r="R195" s="5">
        <v>2</v>
      </c>
      <c r="S195" s="5">
        <v>800</v>
      </c>
      <c r="T195" s="5">
        <v>660</v>
      </c>
      <c r="U195" s="5">
        <v>880</v>
      </c>
      <c r="V195" s="5">
        <f t="shared" si="10"/>
        <v>4</v>
      </c>
      <c r="W195" s="5" t="s">
        <v>10</v>
      </c>
      <c r="X195" s="5">
        <v>54</v>
      </c>
      <c r="Y195" s="5">
        <v>824.2</v>
      </c>
      <c r="Z195" s="5">
        <v>71</v>
      </c>
      <c r="AA195" s="5" t="s">
        <v>68</v>
      </c>
      <c r="AB195" s="5"/>
      <c r="AC195" s="5"/>
      <c r="AD195" s="5"/>
      <c r="AE195" s="5"/>
      <c r="AF195" s="5" t="s">
        <v>68</v>
      </c>
      <c r="AG195" s="5"/>
      <c r="AH195" s="12" t="s">
        <v>48</v>
      </c>
      <c r="AI195" s="12"/>
      <c r="AJ195" s="12"/>
      <c r="AK195" s="12"/>
      <c r="AL195" s="12"/>
      <c r="AM195" s="12" t="str">
        <f t="shared" si="9"/>
        <v>_</v>
      </c>
      <c r="AN195" s="12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</row>
    <row r="196" spans="1:240" s="2" customFormat="1" ht="30" customHeight="1">
      <c r="A196" s="5">
        <v>194</v>
      </c>
      <c r="B196" s="5" t="s">
        <v>68</v>
      </c>
      <c r="C196" s="5"/>
      <c r="D196" s="5"/>
      <c r="E196" s="5">
        <v>5705</v>
      </c>
      <c r="F196" s="5">
        <v>1454</v>
      </c>
      <c r="G196" s="5">
        <v>1252</v>
      </c>
      <c r="H196" s="5">
        <v>540</v>
      </c>
      <c r="I196" s="5" t="s">
        <v>13</v>
      </c>
      <c r="J196" s="34">
        <v>29.045636917915406</v>
      </c>
      <c r="K196" s="10">
        <v>5</v>
      </c>
      <c r="L196" s="11">
        <v>167.5</v>
      </c>
      <c r="M196" s="31">
        <v>10</v>
      </c>
      <c r="N196" s="5">
        <v>42.5</v>
      </c>
      <c r="O196" s="5">
        <v>66791</v>
      </c>
      <c r="P196" s="5" t="s">
        <v>48</v>
      </c>
      <c r="Q196" s="5">
        <v>1</v>
      </c>
      <c r="R196" s="5">
        <v>3</v>
      </c>
      <c r="S196" s="5">
        <v>800</v>
      </c>
      <c r="T196" s="5">
        <v>660</v>
      </c>
      <c r="U196" s="5">
        <v>880</v>
      </c>
      <c r="V196" s="5">
        <f t="shared" si="10"/>
        <v>6</v>
      </c>
      <c r="W196" s="5" t="s">
        <v>10</v>
      </c>
      <c r="X196" s="5">
        <v>56</v>
      </c>
      <c r="Y196" s="5">
        <v>492.2</v>
      </c>
      <c r="Z196" s="5">
        <v>42</v>
      </c>
      <c r="AA196" s="5" t="s">
        <v>68</v>
      </c>
      <c r="AB196" s="5"/>
      <c r="AC196" s="5"/>
      <c r="AD196" s="5"/>
      <c r="AE196" s="5"/>
      <c r="AF196" s="5" t="s">
        <v>68</v>
      </c>
      <c r="AG196" s="5"/>
      <c r="AH196" s="12">
        <v>10754</v>
      </c>
      <c r="AI196" s="12"/>
      <c r="AJ196" s="12"/>
      <c r="AK196" s="12"/>
      <c r="AL196" s="12"/>
      <c r="AM196" s="12">
        <f t="shared" si="9"/>
        <v>10754</v>
      </c>
      <c r="AN196" s="12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</row>
    <row r="197" spans="1:240" s="2" customFormat="1" ht="30" customHeight="1">
      <c r="A197" s="5">
        <v>195</v>
      </c>
      <c r="B197" s="5" t="s">
        <v>68</v>
      </c>
      <c r="C197" s="5"/>
      <c r="D197" s="5"/>
      <c r="E197" s="5">
        <v>5705</v>
      </c>
      <c r="F197" s="5">
        <v>1454</v>
      </c>
      <c r="G197" s="5">
        <v>1252</v>
      </c>
      <c r="H197" s="5">
        <v>600</v>
      </c>
      <c r="I197" s="5" t="s">
        <v>13</v>
      </c>
      <c r="J197" s="34">
        <v>36.155315208270814</v>
      </c>
      <c r="K197" s="10">
        <v>5</v>
      </c>
      <c r="L197" s="11">
        <v>208.5</v>
      </c>
      <c r="M197" s="31">
        <v>10</v>
      </c>
      <c r="N197" s="5">
        <v>30.7</v>
      </c>
      <c r="O197" s="5">
        <v>64848</v>
      </c>
      <c r="P197" s="5" t="s">
        <v>48</v>
      </c>
      <c r="Q197" s="5">
        <v>1</v>
      </c>
      <c r="R197" s="5">
        <v>3</v>
      </c>
      <c r="S197" s="5">
        <v>800</v>
      </c>
      <c r="T197" s="5">
        <v>660</v>
      </c>
      <c r="U197" s="5">
        <v>880</v>
      </c>
      <c r="V197" s="5">
        <f t="shared" si="10"/>
        <v>6</v>
      </c>
      <c r="W197" s="5" t="s">
        <v>10</v>
      </c>
      <c r="X197" s="5">
        <v>56</v>
      </c>
      <c r="Y197" s="5">
        <v>738.3</v>
      </c>
      <c r="Z197" s="5">
        <v>64</v>
      </c>
      <c r="AA197" s="5" t="s">
        <v>68</v>
      </c>
      <c r="AB197" s="5"/>
      <c r="AC197" s="5"/>
      <c r="AD197" s="5"/>
      <c r="AE197" s="5"/>
      <c r="AF197" s="5" t="s">
        <v>68</v>
      </c>
      <c r="AG197" s="5"/>
      <c r="AH197" s="12">
        <v>11752</v>
      </c>
      <c r="AI197" s="12"/>
      <c r="AJ197" s="12"/>
      <c r="AK197" s="12"/>
      <c r="AL197" s="12"/>
      <c r="AM197" s="12">
        <f t="shared" si="9"/>
        <v>11752</v>
      </c>
      <c r="AN197" s="12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</row>
    <row r="198" spans="1:240" s="2" customFormat="1" ht="30" customHeight="1">
      <c r="A198" s="5">
        <v>196</v>
      </c>
      <c r="B198" s="5" t="s">
        <v>68</v>
      </c>
      <c r="C198" s="5"/>
      <c r="D198" s="5"/>
      <c r="E198" s="5">
        <v>5705</v>
      </c>
      <c r="F198" s="5">
        <v>1454</v>
      </c>
      <c r="G198" s="5">
        <v>1252</v>
      </c>
      <c r="H198" s="5">
        <v>660</v>
      </c>
      <c r="I198" s="5" t="s">
        <v>13</v>
      </c>
      <c r="J198" s="34">
        <v>41.184112047790499</v>
      </c>
      <c r="K198" s="10">
        <v>5</v>
      </c>
      <c r="L198" s="11">
        <v>237.5</v>
      </c>
      <c r="M198" s="31">
        <v>10</v>
      </c>
      <c r="N198" s="5">
        <v>71.099999999999994</v>
      </c>
      <c r="O198" s="5">
        <v>62929</v>
      </c>
      <c r="P198" s="5" t="s">
        <v>48</v>
      </c>
      <c r="Q198" s="5">
        <v>1</v>
      </c>
      <c r="R198" s="5">
        <v>3</v>
      </c>
      <c r="S198" s="5">
        <v>800</v>
      </c>
      <c r="T198" s="5">
        <v>660</v>
      </c>
      <c r="U198" s="5">
        <v>880</v>
      </c>
      <c r="V198" s="5">
        <f t="shared" si="10"/>
        <v>6</v>
      </c>
      <c r="W198" s="5" t="s">
        <v>10</v>
      </c>
      <c r="X198" s="5">
        <v>56</v>
      </c>
      <c r="Y198" s="5">
        <v>984.5</v>
      </c>
      <c r="Z198" s="5">
        <v>85</v>
      </c>
      <c r="AA198" s="5" t="s">
        <v>68</v>
      </c>
      <c r="AB198" s="5"/>
      <c r="AC198" s="5"/>
      <c r="AD198" s="5"/>
      <c r="AE198" s="5"/>
      <c r="AF198" s="5" t="s">
        <v>68</v>
      </c>
      <c r="AG198" s="5"/>
      <c r="AH198" s="12">
        <v>12529</v>
      </c>
      <c r="AI198" s="12"/>
      <c r="AJ198" s="12"/>
      <c r="AK198" s="12"/>
      <c r="AL198" s="12"/>
      <c r="AM198" s="12">
        <f t="shared" si="9"/>
        <v>12529</v>
      </c>
      <c r="AN198" s="12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</row>
    <row r="199" spans="1:240" s="2" customFormat="1" ht="30" customHeight="1">
      <c r="A199" s="5">
        <v>197</v>
      </c>
      <c r="B199" s="5" t="s">
        <v>68</v>
      </c>
      <c r="C199" s="5"/>
      <c r="D199" s="5"/>
      <c r="E199" s="5">
        <v>5705</v>
      </c>
      <c r="F199" s="5">
        <v>1454</v>
      </c>
      <c r="G199" s="5">
        <v>1252</v>
      </c>
      <c r="H199" s="5">
        <v>720</v>
      </c>
      <c r="I199" s="5" t="s">
        <v>13</v>
      </c>
      <c r="J199" s="34">
        <v>43.59446639500856</v>
      </c>
      <c r="K199" s="10">
        <v>5</v>
      </c>
      <c r="L199" s="11">
        <v>251.4</v>
      </c>
      <c r="M199" s="31">
        <v>10</v>
      </c>
      <c r="N199" s="5">
        <v>53.2</v>
      </c>
      <c r="O199" s="5">
        <v>61071</v>
      </c>
      <c r="P199" s="5" t="s">
        <v>48</v>
      </c>
      <c r="Q199" s="5">
        <v>1</v>
      </c>
      <c r="R199" s="5">
        <v>3</v>
      </c>
      <c r="S199" s="5">
        <v>800</v>
      </c>
      <c r="T199" s="5">
        <v>660</v>
      </c>
      <c r="U199" s="5">
        <v>880</v>
      </c>
      <c r="V199" s="5">
        <f t="shared" si="10"/>
        <v>6</v>
      </c>
      <c r="W199" s="5" t="s">
        <v>10</v>
      </c>
      <c r="X199" s="5">
        <v>56</v>
      </c>
      <c r="Y199" s="5">
        <v>1230.5999999999999</v>
      </c>
      <c r="Z199" s="5">
        <v>106</v>
      </c>
      <c r="AA199" s="5" t="s">
        <v>68</v>
      </c>
      <c r="AB199" s="5"/>
      <c r="AC199" s="5"/>
      <c r="AD199" s="5"/>
      <c r="AE199" s="5"/>
      <c r="AF199" s="5" t="s">
        <v>68</v>
      </c>
      <c r="AG199" s="5"/>
      <c r="AH199" s="12" t="s">
        <v>48</v>
      </c>
      <c r="AI199" s="12"/>
      <c r="AJ199" s="12"/>
      <c r="AK199" s="12"/>
      <c r="AL199" s="12"/>
      <c r="AM199" s="12" t="str">
        <f t="shared" si="9"/>
        <v>_</v>
      </c>
      <c r="AN199" s="12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</row>
    <row r="200" spans="1:240" s="2" customFormat="1" ht="30" customHeight="1">
      <c r="A200" s="5">
        <v>198</v>
      </c>
      <c r="B200" s="5" t="s">
        <v>68</v>
      </c>
      <c r="C200" s="5"/>
      <c r="D200" s="5"/>
      <c r="E200" s="5">
        <v>7455</v>
      </c>
      <c r="F200" s="5">
        <v>1454</v>
      </c>
      <c r="G200" s="5">
        <v>1252</v>
      </c>
      <c r="H200" s="5">
        <v>720</v>
      </c>
      <c r="I200" s="5" t="s">
        <v>13</v>
      </c>
      <c r="J200" s="34">
        <v>39.328659420795304</v>
      </c>
      <c r="K200" s="10">
        <v>5</v>
      </c>
      <c r="L200" s="11">
        <v>226.8</v>
      </c>
      <c r="M200" s="31">
        <v>10</v>
      </c>
      <c r="N200" s="5">
        <v>95.7</v>
      </c>
      <c r="O200" s="5">
        <v>89034</v>
      </c>
      <c r="P200" s="5" t="s">
        <v>48</v>
      </c>
      <c r="Q200" s="5">
        <v>1</v>
      </c>
      <c r="R200" s="5">
        <v>4</v>
      </c>
      <c r="S200" s="5">
        <v>800</v>
      </c>
      <c r="T200" s="5">
        <v>660</v>
      </c>
      <c r="U200" s="5">
        <v>880</v>
      </c>
      <c r="V200" s="5">
        <f t="shared" si="10"/>
        <v>8</v>
      </c>
      <c r="W200" s="5" t="s">
        <v>10</v>
      </c>
      <c r="X200" s="5">
        <v>57</v>
      </c>
      <c r="Y200" s="5">
        <v>654.79999999999995</v>
      </c>
      <c r="Z200" s="5">
        <v>57</v>
      </c>
      <c r="AA200" s="5" t="s">
        <v>68</v>
      </c>
      <c r="AB200" s="5"/>
      <c r="AC200" s="5"/>
      <c r="AD200" s="5"/>
      <c r="AE200" s="5"/>
      <c r="AF200" s="5" t="s">
        <v>68</v>
      </c>
      <c r="AG200" s="5"/>
      <c r="AH200" s="12">
        <v>14118</v>
      </c>
      <c r="AI200" s="12"/>
      <c r="AJ200" s="12"/>
      <c r="AK200" s="12"/>
      <c r="AL200" s="12"/>
      <c r="AM200" s="12">
        <f t="shared" si="9"/>
        <v>14118</v>
      </c>
      <c r="AN200" s="12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</row>
    <row r="201" spans="1:240" s="2" customFormat="1" ht="30" customHeight="1">
      <c r="A201" s="5">
        <v>199</v>
      </c>
      <c r="B201" s="5" t="s">
        <v>68</v>
      </c>
      <c r="C201" s="5"/>
      <c r="D201" s="5"/>
      <c r="E201" s="5">
        <v>7455</v>
      </c>
      <c r="F201" s="5">
        <v>1454</v>
      </c>
      <c r="G201" s="5">
        <v>1252</v>
      </c>
      <c r="H201" s="5">
        <v>800</v>
      </c>
      <c r="I201" s="5" t="s">
        <v>13</v>
      </c>
      <c r="J201" s="34">
        <v>48.900714094639667</v>
      </c>
      <c r="K201" s="10">
        <v>5</v>
      </c>
      <c r="L201" s="11">
        <v>282</v>
      </c>
      <c r="M201" s="31">
        <v>10</v>
      </c>
      <c r="N201" s="5">
        <v>68.900000000000006</v>
      </c>
      <c r="O201" s="5">
        <v>86432</v>
      </c>
      <c r="P201" s="5" t="s">
        <v>48</v>
      </c>
      <c r="Q201" s="5">
        <v>1</v>
      </c>
      <c r="R201" s="5">
        <v>4</v>
      </c>
      <c r="S201" s="5">
        <v>800</v>
      </c>
      <c r="T201" s="5">
        <v>660</v>
      </c>
      <c r="U201" s="5">
        <v>880</v>
      </c>
      <c r="V201" s="5">
        <f t="shared" si="10"/>
        <v>8</v>
      </c>
      <c r="W201" s="5" t="s">
        <v>10</v>
      </c>
      <c r="X201" s="5">
        <v>57</v>
      </c>
      <c r="Y201" s="5">
        <v>982.1</v>
      </c>
      <c r="Z201" s="5">
        <v>85</v>
      </c>
      <c r="AA201" s="5" t="s">
        <v>68</v>
      </c>
      <c r="AB201" s="5"/>
      <c r="AC201" s="5"/>
      <c r="AD201" s="5"/>
      <c r="AE201" s="5"/>
      <c r="AF201" s="5" t="s">
        <v>68</v>
      </c>
      <c r="AG201" s="5"/>
      <c r="AH201" s="12">
        <v>15685</v>
      </c>
      <c r="AI201" s="12"/>
      <c r="AJ201" s="12"/>
      <c r="AK201" s="12"/>
      <c r="AL201" s="12"/>
      <c r="AM201" s="12">
        <f t="shared" si="9"/>
        <v>15685</v>
      </c>
      <c r="AN201" s="12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</row>
    <row r="202" spans="1:240" s="2" customFormat="1" ht="30" customHeight="1">
      <c r="A202" s="5">
        <v>200</v>
      </c>
      <c r="B202" s="5" t="s">
        <v>68</v>
      </c>
      <c r="C202" s="5"/>
      <c r="D202" s="5"/>
      <c r="E202" s="5">
        <v>7455</v>
      </c>
      <c r="F202" s="5">
        <v>1454</v>
      </c>
      <c r="G202" s="5">
        <v>1252</v>
      </c>
      <c r="H202" s="5">
        <v>880</v>
      </c>
      <c r="I202" s="5" t="s">
        <v>13</v>
      </c>
      <c r="J202" s="34">
        <v>54.588456726924001</v>
      </c>
      <c r="K202" s="10">
        <v>5</v>
      </c>
      <c r="L202" s="11">
        <v>314.8</v>
      </c>
      <c r="M202" s="31">
        <v>10</v>
      </c>
      <c r="N202" s="5">
        <v>50</v>
      </c>
      <c r="O202" s="5">
        <v>83865</v>
      </c>
      <c r="P202" s="5" t="s">
        <v>48</v>
      </c>
      <c r="Q202" s="5">
        <v>1</v>
      </c>
      <c r="R202" s="5">
        <v>4</v>
      </c>
      <c r="S202" s="5">
        <v>800</v>
      </c>
      <c r="T202" s="5">
        <v>660</v>
      </c>
      <c r="U202" s="5">
        <v>880</v>
      </c>
      <c r="V202" s="5">
        <f t="shared" si="10"/>
        <v>8</v>
      </c>
      <c r="W202" s="5" t="s">
        <v>10</v>
      </c>
      <c r="X202" s="5">
        <v>57</v>
      </c>
      <c r="Y202" s="5">
        <v>1309.5</v>
      </c>
      <c r="Z202" s="5">
        <v>113</v>
      </c>
      <c r="AA202" s="5" t="s">
        <v>68</v>
      </c>
      <c r="AB202" s="5"/>
      <c r="AC202" s="5"/>
      <c r="AD202" s="5"/>
      <c r="AE202" s="5"/>
      <c r="AF202" s="5" t="s">
        <v>68</v>
      </c>
      <c r="AG202" s="5"/>
      <c r="AH202" s="12">
        <v>17482</v>
      </c>
      <c r="AI202" s="12"/>
      <c r="AJ202" s="12"/>
      <c r="AK202" s="12"/>
      <c r="AL202" s="12"/>
      <c r="AM202" s="12">
        <f t="shared" si="9"/>
        <v>17482</v>
      </c>
      <c r="AN202" s="12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</row>
    <row r="203" spans="1:240" s="2" customFormat="1" ht="30" customHeight="1">
      <c r="A203" s="5">
        <v>201</v>
      </c>
      <c r="B203" s="5" t="s">
        <v>68</v>
      </c>
      <c r="C203" s="5"/>
      <c r="D203" s="5"/>
      <c r="E203" s="5">
        <v>7455</v>
      </c>
      <c r="F203" s="5">
        <v>1454</v>
      </c>
      <c r="G203" s="5">
        <v>1252</v>
      </c>
      <c r="H203" s="5">
        <v>960</v>
      </c>
      <c r="I203" s="5" t="s">
        <v>13</v>
      </c>
      <c r="J203" s="34">
        <v>57.813822975719376</v>
      </c>
      <c r="K203" s="10">
        <v>5</v>
      </c>
      <c r="L203" s="11">
        <v>333.4</v>
      </c>
      <c r="M203" s="31">
        <v>10</v>
      </c>
      <c r="N203" s="5">
        <v>37.4</v>
      </c>
      <c r="O203" s="5">
        <v>81380</v>
      </c>
      <c r="P203" s="5" t="s">
        <v>48</v>
      </c>
      <c r="Q203" s="5">
        <v>1</v>
      </c>
      <c r="R203" s="5">
        <v>4</v>
      </c>
      <c r="S203" s="5">
        <v>800</v>
      </c>
      <c r="T203" s="5">
        <v>660</v>
      </c>
      <c r="U203" s="5">
        <v>880</v>
      </c>
      <c r="V203" s="5">
        <f t="shared" si="10"/>
        <v>8</v>
      </c>
      <c r="W203" s="5" t="s">
        <v>10</v>
      </c>
      <c r="X203" s="5">
        <v>57</v>
      </c>
      <c r="Y203" s="5">
        <v>1636.9</v>
      </c>
      <c r="Z203" s="5">
        <v>141</v>
      </c>
      <c r="AA203" s="5" t="s">
        <v>68</v>
      </c>
      <c r="AB203" s="5"/>
      <c r="AC203" s="5"/>
      <c r="AD203" s="5"/>
      <c r="AE203" s="5"/>
      <c r="AF203" s="5" t="s">
        <v>68</v>
      </c>
      <c r="AG203" s="5"/>
      <c r="AH203" s="12" t="s">
        <v>48</v>
      </c>
      <c r="AI203" s="12"/>
      <c r="AJ203" s="12"/>
      <c r="AK203" s="12"/>
      <c r="AL203" s="12"/>
      <c r="AM203" s="12" t="str">
        <f t="shared" si="9"/>
        <v>_</v>
      </c>
      <c r="AN203" s="12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</row>
    <row r="204" spans="1:240" s="2" customFormat="1" ht="30" customHeight="1">
      <c r="A204" s="5">
        <v>202</v>
      </c>
      <c r="B204" s="5" t="s">
        <v>68</v>
      </c>
      <c r="C204" s="5"/>
      <c r="D204" s="5"/>
      <c r="E204" s="5">
        <v>9205</v>
      </c>
      <c r="F204" s="5">
        <v>1454</v>
      </c>
      <c r="G204" s="5">
        <v>1252</v>
      </c>
      <c r="H204" s="5">
        <v>900</v>
      </c>
      <c r="I204" s="5" t="s">
        <v>13</v>
      </c>
      <c r="J204" s="34">
        <v>47.652185224138236</v>
      </c>
      <c r="K204" s="10">
        <v>5</v>
      </c>
      <c r="L204" s="11">
        <v>274.8</v>
      </c>
      <c r="M204" s="31">
        <v>10</v>
      </c>
      <c r="N204" s="5">
        <v>24.2</v>
      </c>
      <c r="O204" s="5">
        <v>111277</v>
      </c>
      <c r="P204" s="5" t="s">
        <v>48</v>
      </c>
      <c r="Q204" s="5">
        <v>1</v>
      </c>
      <c r="R204" s="5">
        <v>5</v>
      </c>
      <c r="S204" s="5">
        <v>800</v>
      </c>
      <c r="T204" s="5">
        <v>660</v>
      </c>
      <c r="U204" s="5">
        <v>880</v>
      </c>
      <c r="V204" s="5">
        <f t="shared" si="10"/>
        <v>10</v>
      </c>
      <c r="W204" s="5" t="s">
        <v>10</v>
      </c>
      <c r="X204" s="5">
        <v>58</v>
      </c>
      <c r="Y204" s="5">
        <v>817.3</v>
      </c>
      <c r="Z204" s="5">
        <v>71</v>
      </c>
      <c r="AA204" s="5" t="s">
        <v>68</v>
      </c>
      <c r="AB204" s="5"/>
      <c r="AC204" s="5"/>
      <c r="AD204" s="5"/>
      <c r="AE204" s="5"/>
      <c r="AF204" s="5" t="s">
        <v>68</v>
      </c>
      <c r="AG204" s="5"/>
      <c r="AH204" s="12">
        <v>17138</v>
      </c>
      <c r="AI204" s="12"/>
      <c r="AJ204" s="12"/>
      <c r="AK204" s="12"/>
      <c r="AL204" s="12"/>
      <c r="AM204" s="12">
        <f t="shared" si="9"/>
        <v>17138</v>
      </c>
      <c r="AN204" s="12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</row>
    <row r="205" spans="1:240" s="2" customFormat="1" ht="30" customHeight="1">
      <c r="A205" s="5">
        <v>203</v>
      </c>
      <c r="B205" s="5" t="s">
        <v>68</v>
      </c>
      <c r="C205" s="5"/>
      <c r="D205" s="5"/>
      <c r="E205" s="5">
        <v>9205</v>
      </c>
      <c r="F205" s="5">
        <v>1454</v>
      </c>
      <c r="G205" s="5">
        <v>1252</v>
      </c>
      <c r="H205" s="5">
        <v>1000</v>
      </c>
      <c r="I205" s="5" t="s">
        <v>13</v>
      </c>
      <c r="J205" s="34">
        <v>59.374484063846175</v>
      </c>
      <c r="K205" s="10">
        <v>5</v>
      </c>
      <c r="L205" s="11">
        <v>342.4</v>
      </c>
      <c r="M205" s="31">
        <v>10</v>
      </c>
      <c r="N205" s="5">
        <v>17.5</v>
      </c>
      <c r="O205" s="5">
        <v>108017</v>
      </c>
      <c r="P205" s="5" t="s">
        <v>48</v>
      </c>
      <c r="Q205" s="5">
        <v>1</v>
      </c>
      <c r="R205" s="5">
        <v>5</v>
      </c>
      <c r="S205" s="5">
        <v>800</v>
      </c>
      <c r="T205" s="5">
        <v>660</v>
      </c>
      <c r="U205" s="5">
        <v>880</v>
      </c>
      <c r="V205" s="5">
        <f t="shared" si="10"/>
        <v>10</v>
      </c>
      <c r="W205" s="5" t="s">
        <v>10</v>
      </c>
      <c r="X205" s="5">
        <v>58</v>
      </c>
      <c r="Y205" s="5">
        <v>1225.9000000000001</v>
      </c>
      <c r="Z205" s="5">
        <v>106</v>
      </c>
      <c r="AA205" s="5" t="s">
        <v>68</v>
      </c>
      <c r="AB205" s="5"/>
      <c r="AC205" s="5"/>
      <c r="AD205" s="5"/>
      <c r="AE205" s="5"/>
      <c r="AF205" s="5" t="s">
        <v>68</v>
      </c>
      <c r="AG205" s="5"/>
      <c r="AH205" s="12">
        <v>18839</v>
      </c>
      <c r="AI205" s="12"/>
      <c r="AJ205" s="12"/>
      <c r="AK205" s="12"/>
      <c r="AL205" s="12"/>
      <c r="AM205" s="12">
        <f t="shared" si="9"/>
        <v>18839</v>
      </c>
      <c r="AN205" s="12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</row>
    <row r="206" spans="1:240" s="2" customFormat="1" ht="30" customHeight="1">
      <c r="A206" s="5">
        <v>204</v>
      </c>
      <c r="B206" s="5" t="s">
        <v>68</v>
      </c>
      <c r="C206" s="5"/>
      <c r="D206" s="5"/>
      <c r="E206" s="5">
        <v>9205</v>
      </c>
      <c r="F206" s="5">
        <v>1454</v>
      </c>
      <c r="G206" s="5">
        <v>1252</v>
      </c>
      <c r="H206" s="5">
        <v>1100</v>
      </c>
      <c r="I206" s="5" t="s">
        <v>13</v>
      </c>
      <c r="J206" s="34">
        <v>68.773131950120899</v>
      </c>
      <c r="K206" s="10">
        <v>5</v>
      </c>
      <c r="L206" s="11">
        <v>396.6</v>
      </c>
      <c r="M206" s="31">
        <v>10</v>
      </c>
      <c r="N206" s="5">
        <v>93.2</v>
      </c>
      <c r="O206" s="5">
        <v>104800</v>
      </c>
      <c r="P206" s="5" t="s">
        <v>48</v>
      </c>
      <c r="Q206" s="5">
        <v>1</v>
      </c>
      <c r="R206" s="5">
        <v>5</v>
      </c>
      <c r="S206" s="5">
        <v>800</v>
      </c>
      <c r="T206" s="5">
        <v>660</v>
      </c>
      <c r="U206" s="5">
        <v>880</v>
      </c>
      <c r="V206" s="5">
        <f t="shared" si="10"/>
        <v>10</v>
      </c>
      <c r="W206" s="5" t="s">
        <v>10</v>
      </c>
      <c r="X206" s="5">
        <v>58</v>
      </c>
      <c r="Y206" s="5">
        <v>1634.6</v>
      </c>
      <c r="Z206" s="5">
        <v>141</v>
      </c>
      <c r="AA206" s="5" t="s">
        <v>68</v>
      </c>
      <c r="AB206" s="5"/>
      <c r="AC206" s="5"/>
      <c r="AD206" s="5"/>
      <c r="AE206" s="5"/>
      <c r="AF206" s="5" t="s">
        <v>68</v>
      </c>
      <c r="AG206" s="5"/>
      <c r="AH206" s="12">
        <v>21202</v>
      </c>
      <c r="AI206" s="12"/>
      <c r="AJ206" s="12"/>
      <c r="AK206" s="12"/>
      <c r="AL206" s="12"/>
      <c r="AM206" s="12">
        <f t="shared" si="9"/>
        <v>21202</v>
      </c>
      <c r="AN206" s="12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</row>
    <row r="207" spans="1:240" s="2" customFormat="1" ht="30" customHeight="1">
      <c r="A207" s="5">
        <v>205</v>
      </c>
      <c r="B207" s="5" t="s">
        <v>68</v>
      </c>
      <c r="C207" s="5"/>
      <c r="D207" s="5"/>
      <c r="E207" s="5">
        <v>9205</v>
      </c>
      <c r="F207" s="5">
        <v>1454</v>
      </c>
      <c r="G207" s="5">
        <v>1252</v>
      </c>
      <c r="H207" s="5">
        <v>1200</v>
      </c>
      <c r="I207" s="5" t="s">
        <v>13</v>
      </c>
      <c r="J207" s="34">
        <v>72.79616942173665</v>
      </c>
      <c r="K207" s="10">
        <v>5</v>
      </c>
      <c r="L207" s="11">
        <v>419.8</v>
      </c>
      <c r="M207" s="31">
        <v>10</v>
      </c>
      <c r="N207" s="5">
        <v>69.7</v>
      </c>
      <c r="O207" s="5">
        <v>101688</v>
      </c>
      <c r="P207" s="5" t="s">
        <v>48</v>
      </c>
      <c r="Q207" s="5">
        <v>1</v>
      </c>
      <c r="R207" s="5">
        <v>5</v>
      </c>
      <c r="S207" s="5">
        <v>800</v>
      </c>
      <c r="T207" s="5">
        <v>660</v>
      </c>
      <c r="U207" s="5">
        <v>880</v>
      </c>
      <c r="V207" s="5">
        <f t="shared" si="10"/>
        <v>10</v>
      </c>
      <c r="W207" s="5" t="s">
        <v>10</v>
      </c>
      <c r="X207" s="5">
        <v>58</v>
      </c>
      <c r="Y207" s="5">
        <v>2043.2</v>
      </c>
      <c r="Z207" s="5">
        <v>176</v>
      </c>
      <c r="AA207" s="5" t="s">
        <v>68</v>
      </c>
      <c r="AB207" s="5"/>
      <c r="AC207" s="5"/>
      <c r="AD207" s="5"/>
      <c r="AE207" s="5"/>
      <c r="AF207" s="5" t="s">
        <v>68</v>
      </c>
      <c r="AG207" s="5"/>
      <c r="AH207" s="12" t="s">
        <v>48</v>
      </c>
      <c r="AI207" s="12"/>
      <c r="AJ207" s="12"/>
      <c r="AK207" s="12"/>
      <c r="AL207" s="12"/>
      <c r="AM207" s="12" t="str">
        <f t="shared" si="9"/>
        <v>_</v>
      </c>
      <c r="AN207" s="12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</row>
    <row r="208" spans="1:240" s="2" customFormat="1" ht="30" customHeight="1">
      <c r="A208" s="5">
        <v>206</v>
      </c>
      <c r="B208" s="5" t="s">
        <v>68</v>
      </c>
      <c r="C208" s="5"/>
      <c r="D208" s="5"/>
      <c r="E208" s="5">
        <v>2555</v>
      </c>
      <c r="F208" s="5">
        <v>1454</v>
      </c>
      <c r="G208" s="5">
        <v>1289</v>
      </c>
      <c r="H208" s="5">
        <v>215</v>
      </c>
      <c r="I208" s="5" t="s">
        <v>13</v>
      </c>
      <c r="J208" s="34">
        <v>10.803242865588835</v>
      </c>
      <c r="K208" s="10">
        <v>5</v>
      </c>
      <c r="L208" s="11">
        <v>62.3</v>
      </c>
      <c r="M208" s="31">
        <v>10</v>
      </c>
      <c r="N208" s="5">
        <v>68</v>
      </c>
      <c r="O208" s="5">
        <v>22865</v>
      </c>
      <c r="P208" s="5" t="s">
        <v>48</v>
      </c>
      <c r="Q208" s="5">
        <v>1</v>
      </c>
      <c r="R208" s="5">
        <v>1</v>
      </c>
      <c r="S208" s="5">
        <v>900</v>
      </c>
      <c r="T208" s="5">
        <v>660</v>
      </c>
      <c r="U208" s="5">
        <v>860</v>
      </c>
      <c r="V208" s="5">
        <f t="shared" ref="V208:V223" si="11">1.65*R208</f>
        <v>1.65</v>
      </c>
      <c r="W208" s="5" t="s">
        <v>10</v>
      </c>
      <c r="X208" s="5">
        <v>53</v>
      </c>
      <c r="Y208" s="5">
        <v>199.7</v>
      </c>
      <c r="Z208" s="5">
        <v>17</v>
      </c>
      <c r="AA208" s="5" t="s">
        <v>68</v>
      </c>
      <c r="AB208" s="5"/>
      <c r="AC208" s="5"/>
      <c r="AD208" s="5"/>
      <c r="AE208" s="5"/>
      <c r="AF208" s="5" t="s">
        <v>68</v>
      </c>
      <c r="AG208" s="5"/>
      <c r="AH208" s="12">
        <v>5021</v>
      </c>
      <c r="AI208" s="12"/>
      <c r="AJ208" s="12"/>
      <c r="AK208" s="12"/>
      <c r="AL208" s="12"/>
      <c r="AM208" s="12">
        <f t="shared" si="9"/>
        <v>5021</v>
      </c>
      <c r="AN208" s="12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</row>
    <row r="209" spans="1:240" s="2" customFormat="1" ht="30" customHeight="1">
      <c r="A209" s="5">
        <v>207</v>
      </c>
      <c r="B209" s="5" t="s">
        <v>68</v>
      </c>
      <c r="C209" s="5"/>
      <c r="D209" s="5"/>
      <c r="E209" s="5">
        <v>2555</v>
      </c>
      <c r="F209" s="5">
        <v>1454</v>
      </c>
      <c r="G209" s="5">
        <v>1289</v>
      </c>
      <c r="H209" s="5">
        <v>240</v>
      </c>
      <c r="I209" s="5" t="s">
        <v>13</v>
      </c>
      <c r="J209" s="34">
        <v>13.300300606591712</v>
      </c>
      <c r="K209" s="10">
        <v>5</v>
      </c>
      <c r="L209" s="11">
        <v>76.7</v>
      </c>
      <c r="M209" s="31">
        <v>10</v>
      </c>
      <c r="N209" s="5">
        <v>48.1</v>
      </c>
      <c r="O209" s="5">
        <v>22382</v>
      </c>
      <c r="P209" s="5" t="s">
        <v>48</v>
      </c>
      <c r="Q209" s="5">
        <v>1</v>
      </c>
      <c r="R209" s="5">
        <v>1</v>
      </c>
      <c r="S209" s="5">
        <v>900</v>
      </c>
      <c r="T209" s="5">
        <v>660</v>
      </c>
      <c r="U209" s="5">
        <v>860</v>
      </c>
      <c r="V209" s="5">
        <f t="shared" si="11"/>
        <v>1.65</v>
      </c>
      <c r="W209" s="5" t="s">
        <v>10</v>
      </c>
      <c r="X209" s="5">
        <v>53</v>
      </c>
      <c r="Y209" s="5">
        <v>299.5</v>
      </c>
      <c r="Z209" s="5">
        <v>26</v>
      </c>
      <c r="AA209" s="5" t="s">
        <v>68</v>
      </c>
      <c r="AB209" s="5"/>
      <c r="AC209" s="5"/>
      <c r="AD209" s="5"/>
      <c r="AE209" s="5"/>
      <c r="AF209" s="5" t="s">
        <v>68</v>
      </c>
      <c r="AG209" s="5"/>
      <c r="AH209" s="12">
        <v>5438</v>
      </c>
      <c r="AI209" s="12"/>
      <c r="AJ209" s="12"/>
      <c r="AK209" s="12"/>
      <c r="AL209" s="12"/>
      <c r="AM209" s="12">
        <f t="shared" si="9"/>
        <v>5438</v>
      </c>
      <c r="AN209" s="12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</row>
    <row r="210" spans="1:240" s="2" customFormat="1" ht="30" customHeight="1">
      <c r="A210" s="5">
        <v>208</v>
      </c>
      <c r="B210" s="5" t="s">
        <v>68</v>
      </c>
      <c r="C210" s="5"/>
      <c r="D210" s="5"/>
      <c r="E210" s="5">
        <v>2555</v>
      </c>
      <c r="F210" s="5">
        <v>1454</v>
      </c>
      <c r="G210" s="5">
        <v>1289</v>
      </c>
      <c r="H210" s="5">
        <v>265</v>
      </c>
      <c r="I210" s="5" t="s">
        <v>13</v>
      </c>
      <c r="J210" s="34">
        <v>14.930324409746367</v>
      </c>
      <c r="K210" s="10">
        <v>5</v>
      </c>
      <c r="L210" s="11">
        <v>86.1</v>
      </c>
      <c r="M210" s="31">
        <v>10</v>
      </c>
      <c r="N210" s="5">
        <v>78.599999999999994</v>
      </c>
      <c r="O210" s="5">
        <v>21878</v>
      </c>
      <c r="P210" s="5" t="s">
        <v>48</v>
      </c>
      <c r="Q210" s="5">
        <v>1</v>
      </c>
      <c r="R210" s="5">
        <v>1</v>
      </c>
      <c r="S210" s="5">
        <v>900</v>
      </c>
      <c r="T210" s="5">
        <v>660</v>
      </c>
      <c r="U210" s="5">
        <v>860</v>
      </c>
      <c r="V210" s="5">
        <f t="shared" si="11"/>
        <v>1.65</v>
      </c>
      <c r="W210" s="5" t="s">
        <v>10</v>
      </c>
      <c r="X210" s="5">
        <v>53</v>
      </c>
      <c r="Y210" s="5">
        <v>399.4</v>
      </c>
      <c r="Z210" s="5">
        <v>34</v>
      </c>
      <c r="AA210" s="5" t="s">
        <v>68</v>
      </c>
      <c r="AB210" s="5"/>
      <c r="AC210" s="5"/>
      <c r="AD210" s="5"/>
      <c r="AE210" s="5"/>
      <c r="AF210" s="5" t="s">
        <v>68</v>
      </c>
      <c r="AG210" s="5"/>
      <c r="AH210" s="12">
        <v>6219</v>
      </c>
      <c r="AI210" s="12"/>
      <c r="AJ210" s="12"/>
      <c r="AK210" s="12"/>
      <c r="AL210" s="12"/>
      <c r="AM210" s="12">
        <f t="shared" si="9"/>
        <v>6219</v>
      </c>
      <c r="AN210" s="12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</row>
    <row r="211" spans="1:240" s="2" customFormat="1" ht="30" customHeight="1">
      <c r="A211" s="5">
        <v>209</v>
      </c>
      <c r="B211" s="5" t="s">
        <v>68</v>
      </c>
      <c r="C211" s="5"/>
      <c r="D211" s="5"/>
      <c r="E211" s="5">
        <v>2555</v>
      </c>
      <c r="F211" s="5">
        <v>1454</v>
      </c>
      <c r="G211" s="5">
        <v>1289</v>
      </c>
      <c r="H211" s="5">
        <v>290</v>
      </c>
      <c r="I211" s="5" t="s">
        <v>13</v>
      </c>
      <c r="J211" s="34">
        <v>22.074684057615709</v>
      </c>
      <c r="K211" s="10">
        <v>5</v>
      </c>
      <c r="L211" s="11">
        <v>127.3</v>
      </c>
      <c r="M211" s="31">
        <v>10</v>
      </c>
      <c r="N211" s="5">
        <v>47.2</v>
      </c>
      <c r="O211" s="5">
        <v>33402</v>
      </c>
      <c r="P211" s="5" t="s">
        <v>48</v>
      </c>
      <c r="Q211" s="5">
        <v>1</v>
      </c>
      <c r="R211" s="5">
        <v>1</v>
      </c>
      <c r="S211" s="5">
        <v>900</v>
      </c>
      <c r="T211" s="5">
        <v>660</v>
      </c>
      <c r="U211" s="5">
        <v>860</v>
      </c>
      <c r="V211" s="5">
        <f t="shared" si="11"/>
        <v>1.65</v>
      </c>
      <c r="W211" s="5" t="s">
        <v>10</v>
      </c>
      <c r="X211" s="5">
        <v>53</v>
      </c>
      <c r="Y211" s="5">
        <v>499.2</v>
      </c>
      <c r="Z211" s="5">
        <v>43</v>
      </c>
      <c r="AA211" s="5" t="s">
        <v>68</v>
      </c>
      <c r="AB211" s="5"/>
      <c r="AC211" s="5"/>
      <c r="AD211" s="5"/>
      <c r="AE211" s="5"/>
      <c r="AF211" s="5" t="s">
        <v>68</v>
      </c>
      <c r="AG211" s="5"/>
      <c r="AH211" s="12" t="s">
        <v>48</v>
      </c>
      <c r="AI211" s="12"/>
      <c r="AJ211" s="12"/>
      <c r="AK211" s="12"/>
      <c r="AL211" s="12"/>
      <c r="AM211" s="12" t="str">
        <f t="shared" si="9"/>
        <v>_</v>
      </c>
      <c r="AN211" s="12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</row>
    <row r="212" spans="1:240" s="2" customFormat="1" ht="30" customHeight="1">
      <c r="A212" s="5">
        <v>210</v>
      </c>
      <c r="B212" s="5" t="s">
        <v>68</v>
      </c>
      <c r="C212" s="5"/>
      <c r="D212" s="5"/>
      <c r="E212" s="5">
        <v>4655</v>
      </c>
      <c r="F212" s="5">
        <v>1454</v>
      </c>
      <c r="G212" s="5">
        <v>1289</v>
      </c>
      <c r="H212" s="5">
        <v>430</v>
      </c>
      <c r="I212" s="5" t="s">
        <v>13</v>
      </c>
      <c r="J212" s="34">
        <v>21.45041962236499</v>
      </c>
      <c r="K212" s="10">
        <v>5</v>
      </c>
      <c r="L212" s="11">
        <v>123.7</v>
      </c>
      <c r="M212" s="31">
        <v>10</v>
      </c>
      <c r="N212" s="5">
        <v>62.3</v>
      </c>
      <c r="O212" s="5">
        <v>45693</v>
      </c>
      <c r="P212" s="5" t="s">
        <v>48</v>
      </c>
      <c r="Q212" s="5">
        <v>1</v>
      </c>
      <c r="R212" s="5">
        <v>2</v>
      </c>
      <c r="S212" s="5">
        <v>900</v>
      </c>
      <c r="T212" s="5">
        <v>660</v>
      </c>
      <c r="U212" s="5">
        <v>860</v>
      </c>
      <c r="V212" s="5">
        <f t="shared" si="11"/>
        <v>3.3</v>
      </c>
      <c r="W212" s="5" t="s">
        <v>10</v>
      </c>
      <c r="X212" s="5">
        <v>56</v>
      </c>
      <c r="Y212" s="5">
        <v>394.7</v>
      </c>
      <c r="Z212" s="5">
        <v>34</v>
      </c>
      <c r="AA212" s="5" t="s">
        <v>68</v>
      </c>
      <c r="AB212" s="5"/>
      <c r="AC212" s="5"/>
      <c r="AD212" s="5"/>
      <c r="AE212" s="5"/>
      <c r="AF212" s="5" t="s">
        <v>68</v>
      </c>
      <c r="AG212" s="5"/>
      <c r="AH212" s="12">
        <v>8011</v>
      </c>
      <c r="AI212" s="12"/>
      <c r="AJ212" s="12"/>
      <c r="AK212" s="12"/>
      <c r="AL212" s="12"/>
      <c r="AM212" s="12">
        <f t="shared" si="9"/>
        <v>8011</v>
      </c>
      <c r="AN212" s="12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</row>
    <row r="213" spans="1:240" s="2" customFormat="1" ht="30" customHeight="1">
      <c r="A213" s="5">
        <v>211</v>
      </c>
      <c r="B213" s="5" t="s">
        <v>68</v>
      </c>
      <c r="C213" s="5"/>
      <c r="D213" s="5"/>
      <c r="E213" s="5">
        <v>4655</v>
      </c>
      <c r="F213" s="5">
        <v>1454</v>
      </c>
      <c r="G213" s="5">
        <v>1289</v>
      </c>
      <c r="H213" s="5">
        <v>480</v>
      </c>
      <c r="I213" s="5" t="s">
        <v>13</v>
      </c>
      <c r="J213" s="34">
        <v>26.444535104370747</v>
      </c>
      <c r="K213" s="10">
        <v>5</v>
      </c>
      <c r="L213" s="11">
        <v>152.5</v>
      </c>
      <c r="M213" s="31">
        <v>10</v>
      </c>
      <c r="N213" s="5">
        <v>44.1</v>
      </c>
      <c r="O213" s="5">
        <v>44704</v>
      </c>
      <c r="P213" s="5" t="s">
        <v>48</v>
      </c>
      <c r="Q213" s="5">
        <v>1</v>
      </c>
      <c r="R213" s="5">
        <v>2</v>
      </c>
      <c r="S213" s="5">
        <v>900</v>
      </c>
      <c r="T213" s="5">
        <v>660</v>
      </c>
      <c r="U213" s="5">
        <v>860</v>
      </c>
      <c r="V213" s="5">
        <f t="shared" si="11"/>
        <v>3.3</v>
      </c>
      <c r="W213" s="5" t="s">
        <v>10</v>
      </c>
      <c r="X213" s="5">
        <v>56</v>
      </c>
      <c r="Y213" s="5">
        <v>592.1</v>
      </c>
      <c r="Z213" s="5">
        <v>51</v>
      </c>
      <c r="AA213" s="5" t="s">
        <v>68</v>
      </c>
      <c r="AB213" s="5"/>
      <c r="AC213" s="5"/>
      <c r="AD213" s="5"/>
      <c r="AE213" s="5"/>
      <c r="AF213" s="5" t="s">
        <v>68</v>
      </c>
      <c r="AG213" s="5"/>
      <c r="AH213" s="12">
        <v>9161</v>
      </c>
      <c r="AI213" s="12"/>
      <c r="AJ213" s="12"/>
      <c r="AK213" s="12"/>
      <c r="AL213" s="12"/>
      <c r="AM213" s="12">
        <f t="shared" si="9"/>
        <v>9161</v>
      </c>
      <c r="AN213" s="12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</row>
    <row r="214" spans="1:240" s="2" customFormat="1" ht="30" customHeight="1">
      <c r="A214" s="5">
        <v>212</v>
      </c>
      <c r="B214" s="5" t="s">
        <v>68</v>
      </c>
      <c r="C214" s="5"/>
      <c r="D214" s="5"/>
      <c r="E214" s="5">
        <v>4655</v>
      </c>
      <c r="F214" s="5">
        <v>1454</v>
      </c>
      <c r="G214" s="5">
        <v>1289</v>
      </c>
      <c r="H214" s="5">
        <v>530</v>
      </c>
      <c r="I214" s="5" t="s">
        <v>13</v>
      </c>
      <c r="J214" s="34">
        <v>29.721923389437016</v>
      </c>
      <c r="K214" s="10">
        <v>5</v>
      </c>
      <c r="L214" s="11">
        <v>171.4</v>
      </c>
      <c r="M214" s="31">
        <v>10</v>
      </c>
      <c r="N214" s="5">
        <v>72.3</v>
      </c>
      <c r="O214" s="5">
        <v>43676</v>
      </c>
      <c r="P214" s="5" t="s">
        <v>48</v>
      </c>
      <c r="Q214" s="5">
        <v>1</v>
      </c>
      <c r="R214" s="5">
        <v>2</v>
      </c>
      <c r="S214" s="5">
        <v>900</v>
      </c>
      <c r="T214" s="5">
        <v>660</v>
      </c>
      <c r="U214" s="5">
        <v>860</v>
      </c>
      <c r="V214" s="5">
        <f t="shared" si="11"/>
        <v>3.3</v>
      </c>
      <c r="W214" s="5" t="s">
        <v>10</v>
      </c>
      <c r="X214" s="5">
        <v>56</v>
      </c>
      <c r="Y214" s="5">
        <v>789.4</v>
      </c>
      <c r="Z214" s="5">
        <v>68</v>
      </c>
      <c r="AA214" s="5" t="s">
        <v>68</v>
      </c>
      <c r="AB214" s="5"/>
      <c r="AC214" s="5"/>
      <c r="AD214" s="5"/>
      <c r="AE214" s="5"/>
      <c r="AF214" s="5" t="s">
        <v>68</v>
      </c>
      <c r="AG214" s="5"/>
      <c r="AH214" s="12">
        <v>10068</v>
      </c>
      <c r="AI214" s="12"/>
      <c r="AJ214" s="12"/>
      <c r="AK214" s="12"/>
      <c r="AL214" s="12"/>
      <c r="AM214" s="12">
        <f t="shared" si="9"/>
        <v>10068</v>
      </c>
      <c r="AN214" s="12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</row>
    <row r="215" spans="1:240" s="2" customFormat="1" ht="30" customHeight="1">
      <c r="A215" s="5">
        <v>213</v>
      </c>
      <c r="B215" s="5" t="s">
        <v>68</v>
      </c>
      <c r="C215" s="5"/>
      <c r="D215" s="5"/>
      <c r="E215" s="5">
        <v>4655</v>
      </c>
      <c r="F215" s="5">
        <v>1454</v>
      </c>
      <c r="G215" s="5">
        <v>1289</v>
      </c>
      <c r="H215" s="5">
        <v>580</v>
      </c>
      <c r="I215" s="5" t="s">
        <v>13</v>
      </c>
      <c r="J215" s="34">
        <v>31.334606513834707</v>
      </c>
      <c r="K215" s="10">
        <v>5</v>
      </c>
      <c r="L215" s="11">
        <v>180.7</v>
      </c>
      <c r="M215" s="31">
        <v>10</v>
      </c>
      <c r="N215" s="5">
        <v>53.5</v>
      </c>
      <c r="O215" s="5">
        <v>42637</v>
      </c>
      <c r="P215" s="5" t="s">
        <v>48</v>
      </c>
      <c r="Q215" s="5">
        <v>1</v>
      </c>
      <c r="R215" s="5">
        <v>2</v>
      </c>
      <c r="S215" s="5">
        <v>900</v>
      </c>
      <c r="T215" s="5">
        <v>660</v>
      </c>
      <c r="U215" s="5">
        <v>860</v>
      </c>
      <c r="V215" s="5">
        <f t="shared" si="11"/>
        <v>3.3</v>
      </c>
      <c r="W215" s="5" t="s">
        <v>10</v>
      </c>
      <c r="X215" s="5">
        <v>56</v>
      </c>
      <c r="Y215" s="5">
        <v>986.8</v>
      </c>
      <c r="Z215" s="5">
        <v>85</v>
      </c>
      <c r="AA215" s="5" t="s">
        <v>68</v>
      </c>
      <c r="AB215" s="5"/>
      <c r="AC215" s="5"/>
      <c r="AD215" s="5"/>
      <c r="AE215" s="5"/>
      <c r="AF215" s="5" t="s">
        <v>68</v>
      </c>
      <c r="AG215" s="5"/>
      <c r="AH215" s="12" t="s">
        <v>48</v>
      </c>
      <c r="AI215" s="12"/>
      <c r="AJ215" s="12"/>
      <c r="AK215" s="12"/>
      <c r="AL215" s="12"/>
      <c r="AM215" s="12" t="str">
        <f t="shared" si="9"/>
        <v>_</v>
      </c>
      <c r="AN215" s="12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</row>
    <row r="216" spans="1:240" s="2" customFormat="1" ht="30" customHeight="1">
      <c r="A216" s="5">
        <v>214</v>
      </c>
      <c r="B216" s="5" t="s">
        <v>68</v>
      </c>
      <c r="C216" s="5"/>
      <c r="D216" s="5"/>
      <c r="E216" s="5">
        <v>6755</v>
      </c>
      <c r="F216" s="5">
        <v>1454</v>
      </c>
      <c r="G216" s="5">
        <v>1289</v>
      </c>
      <c r="H216" s="5">
        <v>645</v>
      </c>
      <c r="I216" s="5" t="s">
        <v>13</v>
      </c>
      <c r="J216" s="34">
        <v>32.114937057898103</v>
      </c>
      <c r="K216" s="10">
        <v>5</v>
      </c>
      <c r="L216" s="11">
        <v>185.2</v>
      </c>
      <c r="M216" s="31">
        <v>10</v>
      </c>
      <c r="N216" s="5">
        <v>60.5</v>
      </c>
      <c r="O216" s="5">
        <v>68521</v>
      </c>
      <c r="P216" s="5" t="s">
        <v>48</v>
      </c>
      <c r="Q216" s="5">
        <v>1</v>
      </c>
      <c r="R216" s="5">
        <v>3</v>
      </c>
      <c r="S216" s="5">
        <v>900</v>
      </c>
      <c r="T216" s="5">
        <v>660</v>
      </c>
      <c r="U216" s="5">
        <v>860</v>
      </c>
      <c r="V216" s="5">
        <f t="shared" si="11"/>
        <v>4.9499999999999993</v>
      </c>
      <c r="W216" s="5" t="s">
        <v>10</v>
      </c>
      <c r="X216" s="5">
        <v>58</v>
      </c>
      <c r="Y216" s="5">
        <v>589.70000000000005</v>
      </c>
      <c r="Z216" s="5">
        <v>51</v>
      </c>
      <c r="AA216" s="5" t="s">
        <v>68</v>
      </c>
      <c r="AB216" s="5"/>
      <c r="AC216" s="5"/>
      <c r="AD216" s="5"/>
      <c r="AE216" s="5"/>
      <c r="AF216" s="5" t="s">
        <v>68</v>
      </c>
      <c r="AG216" s="5"/>
      <c r="AH216" s="12">
        <v>11835</v>
      </c>
      <c r="AI216" s="12"/>
      <c r="AJ216" s="12"/>
      <c r="AK216" s="12"/>
      <c r="AL216" s="12"/>
      <c r="AM216" s="12">
        <f t="shared" si="9"/>
        <v>11835</v>
      </c>
      <c r="AN216" s="12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</row>
    <row r="217" spans="1:240" s="2" customFormat="1" ht="30" customHeight="1">
      <c r="A217" s="5">
        <v>215</v>
      </c>
      <c r="B217" s="5" t="s">
        <v>68</v>
      </c>
      <c r="C217" s="5"/>
      <c r="D217" s="5"/>
      <c r="E217" s="5">
        <v>6755</v>
      </c>
      <c r="F217" s="5">
        <v>1454</v>
      </c>
      <c r="G217" s="5">
        <v>1289</v>
      </c>
      <c r="H217" s="5">
        <v>720</v>
      </c>
      <c r="I217" s="5" t="s">
        <v>13</v>
      </c>
      <c r="J217" s="34">
        <v>39.588769602149775</v>
      </c>
      <c r="K217" s="10">
        <v>5</v>
      </c>
      <c r="L217" s="11">
        <v>228.3</v>
      </c>
      <c r="M217" s="31">
        <v>10</v>
      </c>
      <c r="N217" s="5">
        <v>42.8</v>
      </c>
      <c r="O217" s="5">
        <v>67026</v>
      </c>
      <c r="P217" s="5" t="s">
        <v>48</v>
      </c>
      <c r="Q217" s="5">
        <v>1</v>
      </c>
      <c r="R217" s="5">
        <v>3</v>
      </c>
      <c r="S217" s="5">
        <v>900</v>
      </c>
      <c r="T217" s="5">
        <v>660</v>
      </c>
      <c r="U217" s="5">
        <v>860</v>
      </c>
      <c r="V217" s="5">
        <f t="shared" si="11"/>
        <v>4.9499999999999993</v>
      </c>
      <c r="W217" s="5" t="s">
        <v>10</v>
      </c>
      <c r="X217" s="5">
        <v>58</v>
      </c>
      <c r="Y217" s="5">
        <v>884.6</v>
      </c>
      <c r="Z217" s="5">
        <v>76</v>
      </c>
      <c r="AA217" s="5" t="s">
        <v>68</v>
      </c>
      <c r="AB217" s="5"/>
      <c r="AC217" s="5"/>
      <c r="AD217" s="5"/>
      <c r="AE217" s="5"/>
      <c r="AF217" s="5" t="s">
        <v>68</v>
      </c>
      <c r="AG217" s="5"/>
      <c r="AH217" s="12">
        <v>13186</v>
      </c>
      <c r="AI217" s="12"/>
      <c r="AJ217" s="12"/>
      <c r="AK217" s="12"/>
      <c r="AL217" s="12"/>
      <c r="AM217" s="12">
        <f t="shared" si="9"/>
        <v>13186</v>
      </c>
      <c r="AN217" s="12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</row>
    <row r="218" spans="1:240" s="2" customFormat="1" ht="30" customHeight="1">
      <c r="A218" s="5">
        <v>216</v>
      </c>
      <c r="B218" s="5" t="s">
        <v>68</v>
      </c>
      <c r="C218" s="5"/>
      <c r="D218" s="5"/>
      <c r="E218" s="5">
        <v>6755</v>
      </c>
      <c r="F218" s="5">
        <v>1454</v>
      </c>
      <c r="G218" s="5">
        <v>1289</v>
      </c>
      <c r="H218" s="5">
        <v>795</v>
      </c>
      <c r="I218" s="5" t="s">
        <v>13</v>
      </c>
      <c r="J218" s="34">
        <v>44.669588477940351</v>
      </c>
      <c r="K218" s="10">
        <v>5</v>
      </c>
      <c r="L218" s="11">
        <v>257.60000000000002</v>
      </c>
      <c r="M218" s="31">
        <v>10</v>
      </c>
      <c r="N218" s="5">
        <v>98</v>
      </c>
      <c r="O218" s="5">
        <v>65472</v>
      </c>
      <c r="P218" s="5" t="s">
        <v>48</v>
      </c>
      <c r="Q218" s="5">
        <v>1</v>
      </c>
      <c r="R218" s="5">
        <v>3</v>
      </c>
      <c r="S218" s="5">
        <v>900</v>
      </c>
      <c r="T218" s="5">
        <v>660</v>
      </c>
      <c r="U218" s="5">
        <v>860</v>
      </c>
      <c r="V218" s="5">
        <f t="shared" si="11"/>
        <v>4.9499999999999993</v>
      </c>
      <c r="W218" s="5" t="s">
        <v>10</v>
      </c>
      <c r="X218" s="5">
        <v>58</v>
      </c>
      <c r="Y218" s="5">
        <v>1179.5</v>
      </c>
      <c r="Z218" s="5">
        <v>102</v>
      </c>
      <c r="AA218" s="5" t="s">
        <v>68</v>
      </c>
      <c r="AB218" s="5"/>
      <c r="AC218" s="5"/>
      <c r="AD218" s="5"/>
      <c r="AE218" s="5"/>
      <c r="AF218" s="5" t="s">
        <v>68</v>
      </c>
      <c r="AG218" s="5"/>
      <c r="AH218" s="12">
        <v>14020</v>
      </c>
      <c r="AI218" s="12"/>
      <c r="AJ218" s="12"/>
      <c r="AK218" s="12"/>
      <c r="AL218" s="12"/>
      <c r="AM218" s="12">
        <f t="shared" si="9"/>
        <v>14020</v>
      </c>
      <c r="AN218" s="12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</row>
    <row r="219" spans="1:240" s="2" customFormat="1" ht="30" customHeight="1">
      <c r="A219" s="5">
        <v>217</v>
      </c>
      <c r="B219" s="5" t="s">
        <v>68</v>
      </c>
      <c r="C219" s="5"/>
      <c r="D219" s="5"/>
      <c r="E219" s="5">
        <v>6755</v>
      </c>
      <c r="F219" s="5">
        <v>1454</v>
      </c>
      <c r="G219" s="5">
        <v>1289</v>
      </c>
      <c r="H219" s="5">
        <v>870</v>
      </c>
      <c r="I219" s="5" t="s">
        <v>13</v>
      </c>
      <c r="J219" s="34">
        <v>47.079942825158405</v>
      </c>
      <c r="K219" s="10">
        <v>5</v>
      </c>
      <c r="L219" s="11">
        <v>271.5</v>
      </c>
      <c r="M219" s="31">
        <v>10</v>
      </c>
      <c r="N219" s="5">
        <v>72.5</v>
      </c>
      <c r="O219" s="5">
        <v>63904</v>
      </c>
      <c r="P219" s="5" t="s">
        <v>48</v>
      </c>
      <c r="Q219" s="5">
        <v>1</v>
      </c>
      <c r="R219" s="5">
        <v>3</v>
      </c>
      <c r="S219" s="5">
        <v>900</v>
      </c>
      <c r="T219" s="5">
        <v>660</v>
      </c>
      <c r="U219" s="5">
        <v>860</v>
      </c>
      <c r="V219" s="5">
        <f t="shared" si="11"/>
        <v>4.9499999999999993</v>
      </c>
      <c r="W219" s="5" t="s">
        <v>10</v>
      </c>
      <c r="X219" s="5">
        <v>58</v>
      </c>
      <c r="Y219" s="5">
        <v>1474.4</v>
      </c>
      <c r="Z219" s="5">
        <v>127</v>
      </c>
      <c r="AA219" s="5" t="s">
        <v>68</v>
      </c>
      <c r="AB219" s="5"/>
      <c r="AC219" s="5"/>
      <c r="AD219" s="5"/>
      <c r="AE219" s="5"/>
      <c r="AF219" s="5" t="s">
        <v>68</v>
      </c>
      <c r="AG219" s="5"/>
      <c r="AH219" s="12" t="s">
        <v>48</v>
      </c>
      <c r="AI219" s="12"/>
      <c r="AJ219" s="12"/>
      <c r="AK219" s="12"/>
      <c r="AL219" s="12"/>
      <c r="AM219" s="12" t="str">
        <f t="shared" si="9"/>
        <v>_</v>
      </c>
      <c r="AN219" s="12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</row>
    <row r="220" spans="1:240" s="2" customFormat="1" ht="30" customHeight="1">
      <c r="A220" s="5">
        <v>218</v>
      </c>
      <c r="B220" s="5" t="s">
        <v>68</v>
      </c>
      <c r="C220" s="5"/>
      <c r="D220" s="5"/>
      <c r="E220" s="5">
        <v>8855</v>
      </c>
      <c r="F220" s="5">
        <v>1454</v>
      </c>
      <c r="G220" s="5">
        <v>1289</v>
      </c>
      <c r="H220" s="5">
        <v>860</v>
      </c>
      <c r="I220" s="5" t="s">
        <v>13</v>
      </c>
      <c r="J220" s="34">
        <v>41.60028833795765</v>
      </c>
      <c r="K220" s="10">
        <v>5</v>
      </c>
      <c r="L220" s="11">
        <v>239.9</v>
      </c>
      <c r="M220" s="31">
        <v>10</v>
      </c>
      <c r="N220" s="5">
        <v>18.3</v>
      </c>
      <c r="O220" s="5">
        <v>91348</v>
      </c>
      <c r="P220" s="5" t="s">
        <v>48</v>
      </c>
      <c r="Q220" s="5">
        <v>1</v>
      </c>
      <c r="R220" s="5">
        <v>4</v>
      </c>
      <c r="S220" s="5">
        <v>900</v>
      </c>
      <c r="T220" s="5">
        <v>660</v>
      </c>
      <c r="U220" s="5">
        <v>860</v>
      </c>
      <c r="V220" s="5">
        <f t="shared" si="11"/>
        <v>6.6</v>
      </c>
      <c r="W220" s="5" t="s">
        <v>10</v>
      </c>
      <c r="X220" s="5">
        <v>59</v>
      </c>
      <c r="Y220" s="5">
        <v>784.8</v>
      </c>
      <c r="Z220" s="5">
        <v>68</v>
      </c>
      <c r="AA220" s="5" t="s">
        <v>68</v>
      </c>
      <c r="AB220" s="5"/>
      <c r="AC220" s="5"/>
      <c r="AD220" s="5"/>
      <c r="AE220" s="5"/>
      <c r="AF220" s="5" t="s">
        <v>68</v>
      </c>
      <c r="AG220" s="5"/>
      <c r="AH220" s="12">
        <v>15297</v>
      </c>
      <c r="AI220" s="12"/>
      <c r="AJ220" s="12"/>
      <c r="AK220" s="12"/>
      <c r="AL220" s="12"/>
      <c r="AM220" s="12">
        <f t="shared" si="9"/>
        <v>15297</v>
      </c>
      <c r="AN220" s="12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</row>
    <row r="221" spans="1:240" s="2" customFormat="1" ht="30" customHeight="1">
      <c r="A221" s="5">
        <v>219</v>
      </c>
      <c r="B221" s="5" t="s">
        <v>68</v>
      </c>
      <c r="C221" s="5"/>
      <c r="D221" s="5"/>
      <c r="E221" s="5">
        <v>8855</v>
      </c>
      <c r="F221" s="5">
        <v>1454</v>
      </c>
      <c r="G221" s="5">
        <v>1289</v>
      </c>
      <c r="H221" s="5">
        <v>960</v>
      </c>
      <c r="I221" s="5" t="s">
        <v>13</v>
      </c>
      <c r="J221" s="34">
        <v>53.409290571450413</v>
      </c>
      <c r="K221" s="10">
        <v>5</v>
      </c>
      <c r="L221" s="11">
        <v>308</v>
      </c>
      <c r="M221" s="31">
        <v>10</v>
      </c>
      <c r="N221" s="5">
        <v>95.9</v>
      </c>
      <c r="O221" s="5">
        <v>89347</v>
      </c>
      <c r="P221" s="5" t="s">
        <v>48</v>
      </c>
      <c r="Q221" s="5">
        <v>1</v>
      </c>
      <c r="R221" s="5">
        <v>4</v>
      </c>
      <c r="S221" s="5">
        <v>900</v>
      </c>
      <c r="T221" s="5">
        <v>660</v>
      </c>
      <c r="U221" s="5">
        <v>860</v>
      </c>
      <c r="V221" s="5">
        <f t="shared" si="11"/>
        <v>6.6</v>
      </c>
      <c r="W221" s="5" t="s">
        <v>10</v>
      </c>
      <c r="X221" s="5">
        <v>59</v>
      </c>
      <c r="Y221" s="5">
        <v>1177.2</v>
      </c>
      <c r="Z221" s="5">
        <v>102</v>
      </c>
      <c r="AA221" s="5" t="s">
        <v>68</v>
      </c>
      <c r="AB221" s="5"/>
      <c r="AC221" s="5"/>
      <c r="AD221" s="5"/>
      <c r="AE221" s="5"/>
      <c r="AF221" s="5" t="s">
        <v>68</v>
      </c>
      <c r="AG221" s="5"/>
      <c r="AH221" s="12">
        <v>16847</v>
      </c>
      <c r="AI221" s="12"/>
      <c r="AJ221" s="12"/>
      <c r="AK221" s="12"/>
      <c r="AL221" s="12"/>
      <c r="AM221" s="12">
        <f t="shared" si="9"/>
        <v>16847</v>
      </c>
      <c r="AN221" s="12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</row>
    <row r="222" spans="1:240" s="2" customFormat="1" ht="30" customHeight="1">
      <c r="A222" s="5">
        <v>220</v>
      </c>
      <c r="B222" s="5" t="s">
        <v>68</v>
      </c>
      <c r="C222" s="5"/>
      <c r="D222" s="5"/>
      <c r="E222" s="5">
        <v>8855</v>
      </c>
      <c r="F222" s="5">
        <v>1454</v>
      </c>
      <c r="G222" s="5">
        <v>1289</v>
      </c>
      <c r="H222" s="5">
        <v>1060</v>
      </c>
      <c r="I222" s="5" t="s">
        <v>13</v>
      </c>
      <c r="J222" s="34">
        <v>59.270439991304393</v>
      </c>
      <c r="K222" s="10">
        <v>5</v>
      </c>
      <c r="L222" s="11">
        <v>341.8</v>
      </c>
      <c r="M222" s="31">
        <v>10</v>
      </c>
      <c r="N222" s="5">
        <v>69.2</v>
      </c>
      <c r="O222" s="5">
        <v>87268</v>
      </c>
      <c r="P222" s="5" t="s">
        <v>48</v>
      </c>
      <c r="Q222" s="5">
        <v>1</v>
      </c>
      <c r="R222" s="5">
        <v>4</v>
      </c>
      <c r="S222" s="5">
        <v>900</v>
      </c>
      <c r="T222" s="5">
        <v>660</v>
      </c>
      <c r="U222" s="5">
        <v>860</v>
      </c>
      <c r="V222" s="5">
        <f t="shared" si="11"/>
        <v>6.6</v>
      </c>
      <c r="W222" s="5" t="s">
        <v>10</v>
      </c>
      <c r="X222" s="5">
        <v>59</v>
      </c>
      <c r="Y222" s="5">
        <v>1569.6</v>
      </c>
      <c r="Z222" s="5">
        <v>135</v>
      </c>
      <c r="AA222" s="5" t="s">
        <v>68</v>
      </c>
      <c r="AB222" s="5"/>
      <c r="AC222" s="5"/>
      <c r="AD222" s="5"/>
      <c r="AE222" s="5"/>
      <c r="AF222" s="5" t="s">
        <v>68</v>
      </c>
      <c r="AG222" s="5"/>
      <c r="AH222" s="12">
        <v>18949</v>
      </c>
      <c r="AI222" s="12"/>
      <c r="AJ222" s="12"/>
      <c r="AK222" s="12"/>
      <c r="AL222" s="12"/>
      <c r="AM222" s="12">
        <f t="shared" si="9"/>
        <v>18949</v>
      </c>
      <c r="AN222" s="12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</row>
    <row r="223" spans="1:240" s="2" customFormat="1" ht="30" customHeight="1">
      <c r="A223" s="5">
        <v>221</v>
      </c>
      <c r="B223" s="5" t="s">
        <v>68</v>
      </c>
      <c r="C223" s="5"/>
      <c r="D223" s="5"/>
      <c r="E223" s="5">
        <v>8855</v>
      </c>
      <c r="F223" s="5">
        <v>1454</v>
      </c>
      <c r="G223" s="5">
        <v>1289</v>
      </c>
      <c r="H223" s="5">
        <v>1160</v>
      </c>
      <c r="I223" s="5" t="s">
        <v>13</v>
      </c>
      <c r="J223" s="34">
        <v>62.513146918856741</v>
      </c>
      <c r="K223" s="10">
        <v>5</v>
      </c>
      <c r="L223" s="11">
        <v>360.5</v>
      </c>
      <c r="M223" s="31">
        <v>10</v>
      </c>
      <c r="N223" s="5">
        <v>51.2</v>
      </c>
      <c r="O223" s="5">
        <v>85171</v>
      </c>
      <c r="P223" s="5" t="s">
        <v>48</v>
      </c>
      <c r="Q223" s="5">
        <v>1</v>
      </c>
      <c r="R223" s="5">
        <v>4</v>
      </c>
      <c r="S223" s="5">
        <v>900</v>
      </c>
      <c r="T223" s="5">
        <v>660</v>
      </c>
      <c r="U223" s="5">
        <v>860</v>
      </c>
      <c r="V223" s="5">
        <f t="shared" si="11"/>
        <v>6.6</v>
      </c>
      <c r="W223" s="5" t="s">
        <v>10</v>
      </c>
      <c r="X223" s="5">
        <v>59</v>
      </c>
      <c r="Y223" s="5">
        <v>1961.9</v>
      </c>
      <c r="Z223" s="5">
        <v>169</v>
      </c>
      <c r="AA223" s="5" t="s">
        <v>68</v>
      </c>
      <c r="AB223" s="5"/>
      <c r="AC223" s="5"/>
      <c r="AD223" s="5"/>
      <c r="AE223" s="5"/>
      <c r="AF223" s="5" t="s">
        <v>68</v>
      </c>
      <c r="AG223" s="5"/>
      <c r="AH223" s="12" t="s">
        <v>48</v>
      </c>
      <c r="AI223" s="12"/>
      <c r="AJ223" s="12"/>
      <c r="AK223" s="12"/>
      <c r="AL223" s="12"/>
      <c r="AM223" s="12" t="str">
        <f t="shared" si="9"/>
        <v>_</v>
      </c>
      <c r="AN223" s="12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</row>
    <row r="224" spans="1:240" s="2" customFormat="1" ht="30" customHeight="1">
      <c r="A224" s="5">
        <v>222</v>
      </c>
      <c r="B224" s="5" t="s">
        <v>68</v>
      </c>
      <c r="C224" s="5"/>
      <c r="D224" s="5"/>
      <c r="E224" s="5">
        <v>2555</v>
      </c>
      <c r="F224" s="5">
        <v>1454</v>
      </c>
      <c r="G224" s="5">
        <v>1295</v>
      </c>
      <c r="H224" s="5">
        <v>215</v>
      </c>
      <c r="I224" s="5" t="s">
        <v>13</v>
      </c>
      <c r="J224" s="34">
        <v>9.3102104246141977</v>
      </c>
      <c r="K224" s="10">
        <v>5</v>
      </c>
      <c r="L224" s="11">
        <v>53.69</v>
      </c>
      <c r="M224" s="31">
        <v>10</v>
      </c>
      <c r="N224" s="5">
        <v>52.33</v>
      </c>
      <c r="O224" s="5">
        <v>18021</v>
      </c>
      <c r="P224" s="5" t="s">
        <v>48</v>
      </c>
      <c r="Q224" s="5">
        <v>1</v>
      </c>
      <c r="R224" s="5">
        <v>1</v>
      </c>
      <c r="S224" s="5">
        <v>1000</v>
      </c>
      <c r="T224" s="5">
        <v>250</v>
      </c>
      <c r="U224" s="5">
        <v>380</v>
      </c>
      <c r="V224" s="5">
        <f t="shared" ref="V224:V231" si="12">0.67*R224</f>
        <v>0.67</v>
      </c>
      <c r="W224" s="5" t="s">
        <v>10</v>
      </c>
      <c r="X224" s="5">
        <v>38</v>
      </c>
      <c r="Y224" s="5">
        <v>199.7</v>
      </c>
      <c r="Z224" s="5">
        <v>17</v>
      </c>
      <c r="AA224" s="5" t="s">
        <v>68</v>
      </c>
      <c r="AB224" s="5"/>
      <c r="AC224" s="5"/>
      <c r="AD224" s="5"/>
      <c r="AE224" s="5"/>
      <c r="AF224" s="5" t="s">
        <v>68</v>
      </c>
      <c r="AG224" s="5"/>
      <c r="AH224" s="12">
        <v>5179</v>
      </c>
      <c r="AI224" s="12"/>
      <c r="AJ224" s="12"/>
      <c r="AK224" s="12"/>
      <c r="AL224" s="12"/>
      <c r="AM224" s="12">
        <f t="shared" si="9"/>
        <v>5179</v>
      </c>
      <c r="AN224" s="12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</row>
    <row r="225" spans="1:240" s="2" customFormat="1" ht="30" customHeight="1">
      <c r="A225" s="5">
        <v>223</v>
      </c>
      <c r="B225" s="5" t="s">
        <v>68</v>
      </c>
      <c r="C225" s="5"/>
      <c r="D225" s="5"/>
      <c r="E225" s="5">
        <v>2555</v>
      </c>
      <c r="F225" s="5">
        <v>1454</v>
      </c>
      <c r="G225" s="5">
        <v>1295</v>
      </c>
      <c r="H225" s="5">
        <v>240</v>
      </c>
      <c r="I225" s="5" t="s">
        <v>13</v>
      </c>
      <c r="J225" s="34">
        <v>10.905552870254924</v>
      </c>
      <c r="K225" s="10">
        <v>5</v>
      </c>
      <c r="L225" s="11">
        <v>62.89</v>
      </c>
      <c r="M225" s="31">
        <v>10</v>
      </c>
      <c r="N225" s="5">
        <v>33.69</v>
      </c>
      <c r="O225" s="5">
        <v>16984</v>
      </c>
      <c r="P225" s="5" t="s">
        <v>48</v>
      </c>
      <c r="Q225" s="5">
        <v>1</v>
      </c>
      <c r="R225" s="5">
        <v>1</v>
      </c>
      <c r="S225" s="5">
        <v>1000</v>
      </c>
      <c r="T225" s="5">
        <v>250</v>
      </c>
      <c r="U225" s="5">
        <v>380</v>
      </c>
      <c r="V225" s="5">
        <f t="shared" si="12"/>
        <v>0.67</v>
      </c>
      <c r="W225" s="5" t="s">
        <v>10</v>
      </c>
      <c r="X225" s="5">
        <v>38</v>
      </c>
      <c r="Y225" s="5">
        <v>299.5</v>
      </c>
      <c r="Z225" s="5">
        <v>26</v>
      </c>
      <c r="AA225" s="5" t="s">
        <v>68</v>
      </c>
      <c r="AB225" s="5"/>
      <c r="AC225" s="5"/>
      <c r="AD225" s="5"/>
      <c r="AE225" s="5"/>
      <c r="AF225" s="5" t="s">
        <v>68</v>
      </c>
      <c r="AG225" s="5"/>
      <c r="AH225" s="12">
        <v>5597</v>
      </c>
      <c r="AI225" s="12"/>
      <c r="AJ225" s="12"/>
      <c r="AK225" s="12"/>
      <c r="AL225" s="12"/>
      <c r="AM225" s="12">
        <f t="shared" ref="AM225:AM288" si="13">AH225</f>
        <v>5597</v>
      </c>
      <c r="AN225" s="12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</row>
    <row r="226" spans="1:240" s="2" customFormat="1" ht="30" customHeight="1">
      <c r="A226" s="5">
        <v>224</v>
      </c>
      <c r="B226" s="5" t="s">
        <v>68</v>
      </c>
      <c r="C226" s="5"/>
      <c r="D226" s="5"/>
      <c r="E226" s="5">
        <v>4655</v>
      </c>
      <c r="F226" s="5">
        <v>1454</v>
      </c>
      <c r="G226" s="5">
        <v>1295</v>
      </c>
      <c r="H226" s="5">
        <v>430</v>
      </c>
      <c r="I226" s="5" t="s">
        <v>13</v>
      </c>
      <c r="J226" s="34">
        <v>18.488631690675469</v>
      </c>
      <c r="K226" s="10">
        <v>5</v>
      </c>
      <c r="L226" s="11">
        <v>106.62</v>
      </c>
      <c r="M226" s="31">
        <v>10</v>
      </c>
      <c r="N226" s="5">
        <v>47.91</v>
      </c>
      <c r="O226" s="5">
        <v>35951</v>
      </c>
      <c r="P226" s="5" t="s">
        <v>48</v>
      </c>
      <c r="Q226" s="5">
        <v>1</v>
      </c>
      <c r="R226" s="5">
        <v>2</v>
      </c>
      <c r="S226" s="5">
        <v>1000</v>
      </c>
      <c r="T226" s="5">
        <v>250</v>
      </c>
      <c r="U226" s="5">
        <v>380</v>
      </c>
      <c r="V226" s="5">
        <f t="shared" si="12"/>
        <v>1.34</v>
      </c>
      <c r="W226" s="5" t="s">
        <v>10</v>
      </c>
      <c r="X226" s="5">
        <v>41</v>
      </c>
      <c r="Y226" s="5">
        <v>394.7</v>
      </c>
      <c r="Z226" s="5">
        <v>34</v>
      </c>
      <c r="AA226" s="5" t="s">
        <v>68</v>
      </c>
      <c r="AB226" s="5"/>
      <c r="AC226" s="5"/>
      <c r="AD226" s="5"/>
      <c r="AE226" s="5"/>
      <c r="AF226" s="5" t="s">
        <v>68</v>
      </c>
      <c r="AG226" s="5"/>
      <c r="AH226" s="12">
        <v>8322</v>
      </c>
      <c r="AI226" s="12"/>
      <c r="AJ226" s="12"/>
      <c r="AK226" s="12"/>
      <c r="AL226" s="12"/>
      <c r="AM226" s="12">
        <f t="shared" si="13"/>
        <v>8322</v>
      </c>
      <c r="AN226" s="12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</row>
    <row r="227" spans="1:240" s="2" customFormat="1" ht="30" customHeight="1">
      <c r="A227" s="5">
        <v>225</v>
      </c>
      <c r="B227" s="5" t="s">
        <v>68</v>
      </c>
      <c r="C227" s="5"/>
      <c r="D227" s="5"/>
      <c r="E227" s="5">
        <v>4655</v>
      </c>
      <c r="F227" s="5">
        <v>1454</v>
      </c>
      <c r="G227" s="5">
        <v>1295</v>
      </c>
      <c r="H227" s="5">
        <v>480</v>
      </c>
      <c r="I227" s="5" t="s">
        <v>13</v>
      </c>
      <c r="J227" s="34">
        <v>21.929022356057207</v>
      </c>
      <c r="K227" s="10">
        <v>5</v>
      </c>
      <c r="L227" s="11">
        <v>126.46</v>
      </c>
      <c r="M227" s="31">
        <v>10</v>
      </c>
      <c r="N227" s="5">
        <v>70.22</v>
      </c>
      <c r="O227" s="5">
        <v>33851</v>
      </c>
      <c r="P227" s="5" t="s">
        <v>48</v>
      </c>
      <c r="Q227" s="5">
        <v>1</v>
      </c>
      <c r="R227" s="5">
        <v>2</v>
      </c>
      <c r="S227" s="5">
        <v>1000</v>
      </c>
      <c r="T227" s="5">
        <v>250</v>
      </c>
      <c r="U227" s="5">
        <v>380</v>
      </c>
      <c r="V227" s="5">
        <f t="shared" si="12"/>
        <v>1.34</v>
      </c>
      <c r="W227" s="5" t="s">
        <v>10</v>
      </c>
      <c r="X227" s="5">
        <v>41</v>
      </c>
      <c r="Y227" s="5">
        <v>592.1</v>
      </c>
      <c r="Z227" s="5">
        <v>51</v>
      </c>
      <c r="AA227" s="5" t="s">
        <v>68</v>
      </c>
      <c r="AB227" s="5"/>
      <c r="AC227" s="5"/>
      <c r="AD227" s="5"/>
      <c r="AE227" s="5"/>
      <c r="AF227" s="5" t="s">
        <v>68</v>
      </c>
      <c r="AG227" s="5"/>
      <c r="AH227" s="12">
        <v>9472</v>
      </c>
      <c r="AI227" s="12"/>
      <c r="AJ227" s="12"/>
      <c r="AK227" s="12"/>
      <c r="AL227" s="12"/>
      <c r="AM227" s="12">
        <f t="shared" si="13"/>
        <v>9472</v>
      </c>
      <c r="AN227" s="12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</row>
    <row r="228" spans="1:240" s="2" customFormat="1" ht="30" customHeight="1">
      <c r="A228" s="5">
        <v>226</v>
      </c>
      <c r="B228" s="5" t="s">
        <v>68</v>
      </c>
      <c r="C228" s="5"/>
      <c r="D228" s="5"/>
      <c r="E228" s="5">
        <v>6755</v>
      </c>
      <c r="F228" s="5">
        <v>1454</v>
      </c>
      <c r="G228" s="5">
        <v>1295</v>
      </c>
      <c r="H228" s="5">
        <v>645</v>
      </c>
      <c r="I228" s="5" t="s">
        <v>13</v>
      </c>
      <c r="J228" s="34">
        <v>27.663584820985342</v>
      </c>
      <c r="K228" s="10">
        <v>5</v>
      </c>
      <c r="L228" s="11">
        <v>159.53</v>
      </c>
      <c r="M228" s="31">
        <v>10</v>
      </c>
      <c r="N228" s="5">
        <v>46.45</v>
      </c>
      <c r="O228" s="5">
        <v>53881</v>
      </c>
      <c r="P228" s="5" t="s">
        <v>48</v>
      </c>
      <c r="Q228" s="5">
        <v>1</v>
      </c>
      <c r="R228" s="5">
        <v>3</v>
      </c>
      <c r="S228" s="5">
        <v>1000</v>
      </c>
      <c r="T228" s="5">
        <v>250</v>
      </c>
      <c r="U228" s="5">
        <v>380</v>
      </c>
      <c r="V228" s="5">
        <f t="shared" si="12"/>
        <v>2.0100000000000002</v>
      </c>
      <c r="W228" s="5" t="s">
        <v>10</v>
      </c>
      <c r="X228" s="5">
        <v>43</v>
      </c>
      <c r="Y228" s="5">
        <v>589.70000000000005</v>
      </c>
      <c r="Z228" s="5">
        <v>51</v>
      </c>
      <c r="AA228" s="5" t="s">
        <v>68</v>
      </c>
      <c r="AB228" s="5"/>
      <c r="AC228" s="5"/>
      <c r="AD228" s="5"/>
      <c r="AE228" s="5"/>
      <c r="AF228" s="5" t="s">
        <v>68</v>
      </c>
      <c r="AG228" s="5"/>
      <c r="AH228" s="12">
        <v>12328</v>
      </c>
      <c r="AI228" s="12"/>
      <c r="AJ228" s="12"/>
      <c r="AK228" s="12"/>
      <c r="AL228" s="12"/>
      <c r="AM228" s="12">
        <f t="shared" si="13"/>
        <v>12328</v>
      </c>
      <c r="AN228" s="12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</row>
    <row r="229" spans="1:240" s="2" customFormat="1" ht="30" customHeight="1">
      <c r="A229" s="5">
        <v>227</v>
      </c>
      <c r="B229" s="5" t="s">
        <v>68</v>
      </c>
      <c r="C229" s="5"/>
      <c r="D229" s="5"/>
      <c r="E229" s="5">
        <v>6755</v>
      </c>
      <c r="F229" s="5">
        <v>1454</v>
      </c>
      <c r="G229" s="5">
        <v>1295</v>
      </c>
      <c r="H229" s="5">
        <v>720</v>
      </c>
      <c r="I229" s="5" t="s">
        <v>13</v>
      </c>
      <c r="J229" s="34">
        <v>32.954225909735179</v>
      </c>
      <c r="K229" s="10">
        <v>5</v>
      </c>
      <c r="L229" s="11">
        <v>190.04</v>
      </c>
      <c r="M229" s="31">
        <v>10</v>
      </c>
      <c r="N229" s="5">
        <v>95.09</v>
      </c>
      <c r="O229" s="5">
        <v>50716</v>
      </c>
      <c r="P229" s="5" t="s">
        <v>48</v>
      </c>
      <c r="Q229" s="5">
        <v>1</v>
      </c>
      <c r="R229" s="5">
        <v>3</v>
      </c>
      <c r="S229" s="5">
        <v>1000</v>
      </c>
      <c r="T229" s="5">
        <v>250</v>
      </c>
      <c r="U229" s="5">
        <v>380</v>
      </c>
      <c r="V229" s="5">
        <f t="shared" si="12"/>
        <v>2.0100000000000002</v>
      </c>
      <c r="W229" s="5" t="s">
        <v>10</v>
      </c>
      <c r="X229" s="5">
        <v>43</v>
      </c>
      <c r="Y229" s="5">
        <v>884.6</v>
      </c>
      <c r="Z229" s="5">
        <v>76</v>
      </c>
      <c r="AA229" s="5" t="s">
        <v>68</v>
      </c>
      <c r="AB229" s="5"/>
      <c r="AC229" s="5"/>
      <c r="AD229" s="5"/>
      <c r="AE229" s="5"/>
      <c r="AF229" s="5" t="s">
        <v>68</v>
      </c>
      <c r="AG229" s="5"/>
      <c r="AH229" s="12">
        <v>13666</v>
      </c>
      <c r="AI229" s="12"/>
      <c r="AJ229" s="12"/>
      <c r="AK229" s="12"/>
      <c r="AL229" s="12"/>
      <c r="AM229" s="12">
        <f t="shared" si="13"/>
        <v>13666</v>
      </c>
      <c r="AN229" s="12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</row>
    <row r="230" spans="1:240" s="2" customFormat="1" ht="30" customHeight="1">
      <c r="A230" s="5">
        <v>228</v>
      </c>
      <c r="B230" s="5" t="s">
        <v>68</v>
      </c>
      <c r="C230" s="5"/>
      <c r="D230" s="5"/>
      <c r="E230" s="5">
        <v>8855</v>
      </c>
      <c r="F230" s="5">
        <v>1454</v>
      </c>
      <c r="G230" s="5">
        <v>1295</v>
      </c>
      <c r="H230" s="5">
        <v>860</v>
      </c>
      <c r="I230" s="5" t="s">
        <v>13</v>
      </c>
      <c r="J230" s="34">
        <v>37.376098992761108</v>
      </c>
      <c r="K230" s="10">
        <v>5</v>
      </c>
      <c r="L230" s="11">
        <v>215.54</v>
      </c>
      <c r="M230" s="31">
        <v>10</v>
      </c>
      <c r="N230" s="5">
        <v>105.03</v>
      </c>
      <c r="O230" s="5">
        <v>71810</v>
      </c>
      <c r="P230" s="5" t="s">
        <v>48</v>
      </c>
      <c r="Q230" s="5">
        <v>1</v>
      </c>
      <c r="R230" s="5">
        <v>4</v>
      </c>
      <c r="S230" s="5">
        <v>1000</v>
      </c>
      <c r="T230" s="5">
        <v>250</v>
      </c>
      <c r="U230" s="5">
        <v>380</v>
      </c>
      <c r="V230" s="5">
        <f t="shared" si="12"/>
        <v>2.68</v>
      </c>
      <c r="W230" s="5" t="s">
        <v>10</v>
      </c>
      <c r="X230" s="5">
        <v>44</v>
      </c>
      <c r="Y230" s="5">
        <v>784.8</v>
      </c>
      <c r="Z230" s="5">
        <v>68</v>
      </c>
      <c r="AA230" s="5" t="s">
        <v>68</v>
      </c>
      <c r="AB230" s="5"/>
      <c r="AC230" s="5"/>
      <c r="AD230" s="5"/>
      <c r="AE230" s="5"/>
      <c r="AF230" s="5" t="s">
        <v>68</v>
      </c>
      <c r="AG230" s="5"/>
      <c r="AH230" s="12">
        <v>15920</v>
      </c>
      <c r="AI230" s="12"/>
      <c r="AJ230" s="12"/>
      <c r="AK230" s="12"/>
      <c r="AL230" s="12"/>
      <c r="AM230" s="12">
        <f t="shared" si="13"/>
        <v>15920</v>
      </c>
      <c r="AN230" s="12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</row>
    <row r="231" spans="1:240" s="2" customFormat="1" ht="30" customHeight="1">
      <c r="A231" s="5">
        <v>229</v>
      </c>
      <c r="B231" s="5" t="s">
        <v>68</v>
      </c>
      <c r="C231" s="5"/>
      <c r="D231" s="5"/>
      <c r="E231" s="5">
        <v>8855</v>
      </c>
      <c r="F231" s="5">
        <v>1454</v>
      </c>
      <c r="G231" s="5">
        <v>1295</v>
      </c>
      <c r="H231" s="5">
        <v>960</v>
      </c>
      <c r="I231" s="5" t="s">
        <v>13</v>
      </c>
      <c r="J231" s="34">
        <v>43.712383010555918</v>
      </c>
      <c r="K231" s="10">
        <v>5</v>
      </c>
      <c r="L231" s="11">
        <v>252.08</v>
      </c>
      <c r="M231" s="31">
        <v>10</v>
      </c>
      <c r="N231" s="5">
        <v>67.099999999999994</v>
      </c>
      <c r="O231" s="5">
        <v>67581</v>
      </c>
      <c r="P231" s="5" t="s">
        <v>48</v>
      </c>
      <c r="Q231" s="5">
        <v>1</v>
      </c>
      <c r="R231" s="5">
        <v>4</v>
      </c>
      <c r="S231" s="5">
        <v>1000</v>
      </c>
      <c r="T231" s="5">
        <v>250</v>
      </c>
      <c r="U231" s="5">
        <v>380</v>
      </c>
      <c r="V231" s="5">
        <f t="shared" si="12"/>
        <v>2.68</v>
      </c>
      <c r="W231" s="5" t="s">
        <v>10</v>
      </c>
      <c r="X231" s="5">
        <v>44</v>
      </c>
      <c r="Y231" s="5">
        <v>1177.2</v>
      </c>
      <c r="Z231" s="5">
        <v>102</v>
      </c>
      <c r="AA231" s="5" t="s">
        <v>68</v>
      </c>
      <c r="AB231" s="5"/>
      <c r="AC231" s="5"/>
      <c r="AD231" s="5"/>
      <c r="AE231" s="5"/>
      <c r="AF231" s="5" t="s">
        <v>68</v>
      </c>
      <c r="AG231" s="5"/>
      <c r="AH231" s="12">
        <v>17471</v>
      </c>
      <c r="AI231" s="12"/>
      <c r="AJ231" s="12"/>
      <c r="AK231" s="12"/>
      <c r="AL231" s="12"/>
      <c r="AM231" s="12">
        <f t="shared" si="13"/>
        <v>17471</v>
      </c>
      <c r="AN231" s="12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</row>
    <row r="232" spans="1:240" s="2" customFormat="1" ht="30" customHeight="1">
      <c r="A232" s="5">
        <v>230</v>
      </c>
      <c r="B232" s="5" t="s">
        <v>68</v>
      </c>
      <c r="C232" s="5"/>
      <c r="D232" s="5"/>
      <c r="E232" s="5">
        <v>3955</v>
      </c>
      <c r="F232" s="5">
        <v>2249</v>
      </c>
      <c r="G232" s="5">
        <v>1252</v>
      </c>
      <c r="H232" s="5">
        <v>580</v>
      </c>
      <c r="I232" s="5" t="s">
        <v>13</v>
      </c>
      <c r="J232" s="34">
        <v>34.126455793705986</v>
      </c>
      <c r="K232" s="10">
        <v>5</v>
      </c>
      <c r="L232" s="11">
        <v>196.8</v>
      </c>
      <c r="M232" s="31">
        <v>10</v>
      </c>
      <c r="N232" s="5">
        <v>52</v>
      </c>
      <c r="O232" s="5">
        <v>86375</v>
      </c>
      <c r="P232" s="5" t="s">
        <v>48</v>
      </c>
      <c r="Q232" s="5">
        <v>2</v>
      </c>
      <c r="R232" s="5">
        <v>4</v>
      </c>
      <c r="S232" s="5">
        <v>800</v>
      </c>
      <c r="T232" s="5">
        <v>660</v>
      </c>
      <c r="U232" s="5">
        <v>880</v>
      </c>
      <c r="V232" s="5">
        <f t="shared" ref="V232:V251" si="14">2*R232</f>
        <v>8</v>
      </c>
      <c r="W232" s="5" t="s">
        <v>10</v>
      </c>
      <c r="X232" s="5">
        <v>56</v>
      </c>
      <c r="Y232" s="5">
        <v>512.9</v>
      </c>
      <c r="Z232" s="5">
        <v>44</v>
      </c>
      <c r="AA232" s="5" t="s">
        <v>68</v>
      </c>
      <c r="AB232" s="5"/>
      <c r="AC232" s="5"/>
      <c r="AD232" s="5"/>
      <c r="AE232" s="5"/>
      <c r="AF232" s="5" t="s">
        <v>68</v>
      </c>
      <c r="AG232" s="5"/>
      <c r="AH232" s="12">
        <v>11747</v>
      </c>
      <c r="AI232" s="12"/>
      <c r="AJ232" s="12"/>
      <c r="AK232" s="12"/>
      <c r="AL232" s="12"/>
      <c r="AM232" s="12">
        <f t="shared" si="13"/>
        <v>11747</v>
      </c>
      <c r="AN232" s="12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</row>
    <row r="233" spans="1:240" s="2" customFormat="1" ht="30" customHeight="1">
      <c r="A233" s="5">
        <v>231</v>
      </c>
      <c r="B233" s="5" t="s">
        <v>68</v>
      </c>
      <c r="C233" s="5"/>
      <c r="D233" s="5"/>
      <c r="E233" s="5">
        <v>3955</v>
      </c>
      <c r="F233" s="5">
        <v>2249</v>
      </c>
      <c r="G233" s="5">
        <v>1252</v>
      </c>
      <c r="H233" s="5">
        <v>600</v>
      </c>
      <c r="I233" s="5" t="s">
        <v>13</v>
      </c>
      <c r="J233" s="34">
        <v>43.59446639500856</v>
      </c>
      <c r="K233" s="10">
        <v>5</v>
      </c>
      <c r="L233" s="11">
        <v>251.4</v>
      </c>
      <c r="M233" s="31">
        <v>10</v>
      </c>
      <c r="N233" s="5">
        <v>92</v>
      </c>
      <c r="O233" s="5">
        <v>82528</v>
      </c>
      <c r="P233" s="5" t="s">
        <v>48</v>
      </c>
      <c r="Q233" s="5">
        <v>2</v>
      </c>
      <c r="R233" s="5">
        <v>4</v>
      </c>
      <c r="S233" s="5">
        <v>800</v>
      </c>
      <c r="T233" s="5">
        <v>660</v>
      </c>
      <c r="U233" s="5">
        <v>880</v>
      </c>
      <c r="V233" s="5">
        <f t="shared" si="14"/>
        <v>8</v>
      </c>
      <c r="W233" s="5" t="s">
        <v>10</v>
      </c>
      <c r="X233" s="5">
        <v>56</v>
      </c>
      <c r="Y233" s="5">
        <v>769.3</v>
      </c>
      <c r="Z233" s="5">
        <v>66</v>
      </c>
      <c r="AA233" s="5" t="s">
        <v>68</v>
      </c>
      <c r="AB233" s="5"/>
      <c r="AC233" s="5"/>
      <c r="AD233" s="5"/>
      <c r="AE233" s="5"/>
      <c r="AF233" s="5" t="s">
        <v>68</v>
      </c>
      <c r="AG233" s="5"/>
      <c r="AH233" s="12">
        <v>13047</v>
      </c>
      <c r="AI233" s="12"/>
      <c r="AJ233" s="12"/>
      <c r="AK233" s="12"/>
      <c r="AL233" s="12"/>
      <c r="AM233" s="12">
        <f t="shared" si="13"/>
        <v>13047</v>
      </c>
      <c r="AN233" s="12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</row>
    <row r="234" spans="1:240" s="2" customFormat="1" ht="30" customHeight="1">
      <c r="A234" s="5">
        <v>232</v>
      </c>
      <c r="B234" s="5" t="s">
        <v>68</v>
      </c>
      <c r="C234" s="5"/>
      <c r="D234" s="5"/>
      <c r="E234" s="5">
        <v>3955</v>
      </c>
      <c r="F234" s="5">
        <v>2249</v>
      </c>
      <c r="G234" s="5">
        <v>1252</v>
      </c>
      <c r="H234" s="5">
        <v>646</v>
      </c>
      <c r="I234" s="5" t="s">
        <v>13</v>
      </c>
      <c r="J234" s="34">
        <v>48.883373415882701</v>
      </c>
      <c r="K234" s="10">
        <v>5</v>
      </c>
      <c r="L234" s="11">
        <v>281.89999999999998</v>
      </c>
      <c r="M234" s="31">
        <v>10</v>
      </c>
      <c r="N234" s="5">
        <v>68</v>
      </c>
      <c r="O234" s="5">
        <v>78902</v>
      </c>
      <c r="P234" s="5" t="s">
        <v>48</v>
      </c>
      <c r="Q234" s="5">
        <v>2</v>
      </c>
      <c r="R234" s="5">
        <v>4</v>
      </c>
      <c r="S234" s="5">
        <v>800</v>
      </c>
      <c r="T234" s="5">
        <v>660</v>
      </c>
      <c r="U234" s="5">
        <v>880</v>
      </c>
      <c r="V234" s="5">
        <f t="shared" si="14"/>
        <v>8</v>
      </c>
      <c r="W234" s="5" t="s">
        <v>10</v>
      </c>
      <c r="X234" s="5">
        <v>56</v>
      </c>
      <c r="Y234" s="5">
        <v>1025.7</v>
      </c>
      <c r="Z234" s="5">
        <v>87</v>
      </c>
      <c r="AA234" s="5" t="s">
        <v>68</v>
      </c>
      <c r="AB234" s="5"/>
      <c r="AC234" s="5"/>
      <c r="AD234" s="5"/>
      <c r="AE234" s="5"/>
      <c r="AF234" s="5" t="s">
        <v>68</v>
      </c>
      <c r="AG234" s="5"/>
      <c r="AH234" s="12">
        <v>14347</v>
      </c>
      <c r="AI234" s="12"/>
      <c r="AJ234" s="12"/>
      <c r="AK234" s="12"/>
      <c r="AL234" s="12"/>
      <c r="AM234" s="12">
        <f t="shared" si="13"/>
        <v>14347</v>
      </c>
      <c r="AN234" s="12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</row>
    <row r="235" spans="1:240" s="2" customFormat="1" ht="30" customHeight="1">
      <c r="A235" s="5">
        <v>233</v>
      </c>
      <c r="B235" s="5" t="s">
        <v>68</v>
      </c>
      <c r="C235" s="5"/>
      <c r="D235" s="5"/>
      <c r="E235" s="5">
        <v>3955</v>
      </c>
      <c r="F235" s="5">
        <v>2249</v>
      </c>
      <c r="G235" s="5">
        <v>1252</v>
      </c>
      <c r="H235" s="5">
        <v>711</v>
      </c>
      <c r="I235" s="5" t="s">
        <v>13</v>
      </c>
      <c r="J235" s="34">
        <v>52.160761700948989</v>
      </c>
      <c r="K235" s="10">
        <v>5</v>
      </c>
      <c r="L235" s="11">
        <v>300.8</v>
      </c>
      <c r="M235" s="31">
        <v>10</v>
      </c>
      <c r="N235" s="5">
        <v>95</v>
      </c>
      <c r="O235" s="5">
        <v>75556</v>
      </c>
      <c r="P235" s="5" t="s">
        <v>48</v>
      </c>
      <c r="Q235" s="5">
        <v>2</v>
      </c>
      <c r="R235" s="5">
        <v>4</v>
      </c>
      <c r="S235" s="5">
        <v>800</v>
      </c>
      <c r="T235" s="5">
        <v>660</v>
      </c>
      <c r="U235" s="5">
        <v>880</v>
      </c>
      <c r="V235" s="5">
        <f t="shared" si="14"/>
        <v>8</v>
      </c>
      <c r="W235" s="5" t="s">
        <v>10</v>
      </c>
      <c r="X235" s="5">
        <v>56</v>
      </c>
      <c r="Y235" s="5">
        <v>1282.2</v>
      </c>
      <c r="Z235" s="5">
        <v>109</v>
      </c>
      <c r="AA235" s="5" t="s">
        <v>68</v>
      </c>
      <c r="AB235" s="5"/>
      <c r="AC235" s="5"/>
      <c r="AD235" s="5"/>
      <c r="AE235" s="5"/>
      <c r="AF235" s="5" t="s">
        <v>68</v>
      </c>
      <c r="AG235" s="5"/>
      <c r="AH235" s="12" t="s">
        <v>48</v>
      </c>
      <c r="AI235" s="12"/>
      <c r="AJ235" s="12"/>
      <c r="AK235" s="12"/>
      <c r="AL235" s="12"/>
      <c r="AM235" s="12" t="str">
        <f t="shared" si="13"/>
        <v>_</v>
      </c>
      <c r="AN235" s="12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</row>
    <row r="236" spans="1:240" s="2" customFormat="1" ht="30" customHeight="1">
      <c r="A236" s="5">
        <v>234</v>
      </c>
      <c r="B236" s="5" t="s">
        <v>68</v>
      </c>
      <c r="C236" s="5"/>
      <c r="D236" s="5"/>
      <c r="E236" s="5">
        <v>5705</v>
      </c>
      <c r="F236" s="5">
        <v>2249</v>
      </c>
      <c r="G236" s="5">
        <v>1252</v>
      </c>
      <c r="H236" s="5">
        <v>713</v>
      </c>
      <c r="I236" s="5" t="s">
        <v>13</v>
      </c>
      <c r="J236" s="34">
        <v>51.08563961801719</v>
      </c>
      <c r="K236" s="10">
        <v>5</v>
      </c>
      <c r="L236" s="11">
        <v>294.60000000000002</v>
      </c>
      <c r="M236" s="31">
        <v>10</v>
      </c>
      <c r="N236" s="5">
        <v>53</v>
      </c>
      <c r="O236" s="5">
        <v>129469</v>
      </c>
      <c r="P236" s="5" t="s">
        <v>48</v>
      </c>
      <c r="Q236" s="5">
        <v>2</v>
      </c>
      <c r="R236" s="5">
        <v>6</v>
      </c>
      <c r="S236" s="5">
        <v>800</v>
      </c>
      <c r="T236" s="5">
        <v>660</v>
      </c>
      <c r="U236" s="5">
        <v>880</v>
      </c>
      <c r="V236" s="5">
        <f t="shared" si="14"/>
        <v>12</v>
      </c>
      <c r="W236" s="5" t="s">
        <v>10</v>
      </c>
      <c r="X236" s="5">
        <v>58</v>
      </c>
      <c r="Y236" s="5">
        <v>765.7</v>
      </c>
      <c r="Z236" s="5">
        <v>66</v>
      </c>
      <c r="AA236" s="5" t="s">
        <v>68</v>
      </c>
      <c r="AB236" s="5"/>
      <c r="AC236" s="5"/>
      <c r="AD236" s="5"/>
      <c r="AE236" s="5"/>
      <c r="AF236" s="5" t="s">
        <v>68</v>
      </c>
      <c r="AG236" s="5"/>
      <c r="AH236" s="12">
        <v>15850</v>
      </c>
      <c r="AI236" s="12"/>
      <c r="AJ236" s="12"/>
      <c r="AK236" s="12"/>
      <c r="AL236" s="12"/>
      <c r="AM236" s="12">
        <f t="shared" si="13"/>
        <v>15850</v>
      </c>
      <c r="AN236" s="12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</row>
    <row r="237" spans="1:240" s="2" customFormat="1" ht="30" customHeight="1">
      <c r="A237" s="5">
        <v>235</v>
      </c>
      <c r="B237" s="5" t="s">
        <v>68</v>
      </c>
      <c r="C237" s="5"/>
      <c r="D237" s="5"/>
      <c r="E237" s="5">
        <v>5705</v>
      </c>
      <c r="F237" s="5">
        <v>2249</v>
      </c>
      <c r="G237" s="5">
        <v>1252</v>
      </c>
      <c r="H237" s="5">
        <v>820</v>
      </c>
      <c r="I237" s="5" t="s">
        <v>13</v>
      </c>
      <c r="J237" s="34">
        <v>64.091148685740507</v>
      </c>
      <c r="K237" s="10">
        <v>5</v>
      </c>
      <c r="L237" s="11">
        <v>369.6</v>
      </c>
      <c r="M237" s="31">
        <v>10</v>
      </c>
      <c r="N237" s="5">
        <v>38</v>
      </c>
      <c r="O237" s="5">
        <v>123657</v>
      </c>
      <c r="P237" s="5" t="s">
        <v>48</v>
      </c>
      <c r="Q237" s="5">
        <v>2</v>
      </c>
      <c r="R237" s="5">
        <v>6</v>
      </c>
      <c r="S237" s="5">
        <v>800</v>
      </c>
      <c r="T237" s="5">
        <v>660</v>
      </c>
      <c r="U237" s="5">
        <v>880</v>
      </c>
      <c r="V237" s="5">
        <f t="shared" si="14"/>
        <v>12</v>
      </c>
      <c r="W237" s="5" t="s">
        <v>10</v>
      </c>
      <c r="X237" s="5">
        <v>58</v>
      </c>
      <c r="Y237" s="5">
        <v>1148.5</v>
      </c>
      <c r="Z237" s="5">
        <v>99</v>
      </c>
      <c r="AA237" s="5" t="s">
        <v>68</v>
      </c>
      <c r="AB237" s="5"/>
      <c r="AC237" s="5"/>
      <c r="AD237" s="5"/>
      <c r="AE237" s="5"/>
      <c r="AF237" s="5" t="s">
        <v>68</v>
      </c>
      <c r="AG237" s="5"/>
      <c r="AH237" s="12">
        <v>18850</v>
      </c>
      <c r="AI237" s="12"/>
      <c r="AJ237" s="12"/>
      <c r="AK237" s="12"/>
      <c r="AL237" s="12"/>
      <c r="AM237" s="12">
        <f t="shared" si="13"/>
        <v>18850</v>
      </c>
      <c r="AN237" s="12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</row>
    <row r="238" spans="1:240" s="2" customFormat="1" ht="30" customHeight="1">
      <c r="A238" s="5">
        <v>236</v>
      </c>
      <c r="B238" s="5" t="s">
        <v>68</v>
      </c>
      <c r="C238" s="5"/>
      <c r="D238" s="5"/>
      <c r="E238" s="5">
        <v>5705</v>
      </c>
      <c r="F238" s="5">
        <v>2249</v>
      </c>
      <c r="G238" s="5">
        <v>1252</v>
      </c>
      <c r="H238" s="5">
        <v>920</v>
      </c>
      <c r="I238" s="5" t="s">
        <v>13</v>
      </c>
      <c r="J238" s="34">
        <v>73.489796572015223</v>
      </c>
      <c r="K238" s="10">
        <v>5</v>
      </c>
      <c r="L238" s="11">
        <v>423.8</v>
      </c>
      <c r="M238" s="31">
        <v>10</v>
      </c>
      <c r="N238" s="5">
        <v>94</v>
      </c>
      <c r="O238" s="5">
        <v>118187</v>
      </c>
      <c r="P238" s="5" t="s">
        <v>48</v>
      </c>
      <c r="Q238" s="5">
        <v>2</v>
      </c>
      <c r="R238" s="5">
        <v>6</v>
      </c>
      <c r="S238" s="5">
        <v>800</v>
      </c>
      <c r="T238" s="5">
        <v>660</v>
      </c>
      <c r="U238" s="5">
        <v>880</v>
      </c>
      <c r="V238" s="5">
        <f t="shared" si="14"/>
        <v>12</v>
      </c>
      <c r="W238" s="5" t="s">
        <v>10</v>
      </c>
      <c r="X238" s="5">
        <v>58</v>
      </c>
      <c r="Y238" s="5">
        <v>1531.4</v>
      </c>
      <c r="Z238" s="5">
        <v>132</v>
      </c>
      <c r="AA238" s="5" t="s">
        <v>68</v>
      </c>
      <c r="AB238" s="5"/>
      <c r="AC238" s="5"/>
      <c r="AD238" s="5"/>
      <c r="AE238" s="5"/>
      <c r="AF238" s="5" t="s">
        <v>68</v>
      </c>
      <c r="AG238" s="5"/>
      <c r="AH238" s="12">
        <v>20350</v>
      </c>
      <c r="AI238" s="12"/>
      <c r="AJ238" s="12"/>
      <c r="AK238" s="12"/>
      <c r="AL238" s="12"/>
      <c r="AM238" s="12">
        <f t="shared" si="13"/>
        <v>20350</v>
      </c>
      <c r="AN238" s="12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</row>
    <row r="239" spans="1:240" s="2" customFormat="1" ht="30" customHeight="1">
      <c r="A239" s="5">
        <v>237</v>
      </c>
      <c r="B239" s="5" t="s">
        <v>68</v>
      </c>
      <c r="C239" s="5"/>
      <c r="D239" s="5"/>
      <c r="E239" s="5">
        <v>5705</v>
      </c>
      <c r="F239" s="5">
        <v>2249</v>
      </c>
      <c r="G239" s="5">
        <v>1252</v>
      </c>
      <c r="H239" s="5">
        <v>1012</v>
      </c>
      <c r="I239" s="5" t="s">
        <v>13</v>
      </c>
      <c r="J239" s="34">
        <v>77.720922188714539</v>
      </c>
      <c r="K239" s="10">
        <v>5</v>
      </c>
      <c r="L239" s="11">
        <v>448.2</v>
      </c>
      <c r="M239" s="31">
        <v>10</v>
      </c>
      <c r="N239" s="5">
        <v>66</v>
      </c>
      <c r="O239" s="5">
        <v>113142</v>
      </c>
      <c r="P239" s="5" t="s">
        <v>48</v>
      </c>
      <c r="Q239" s="5">
        <v>2</v>
      </c>
      <c r="R239" s="5">
        <v>6</v>
      </c>
      <c r="S239" s="5">
        <v>800</v>
      </c>
      <c r="T239" s="5">
        <v>660</v>
      </c>
      <c r="U239" s="5">
        <v>880</v>
      </c>
      <c r="V239" s="5">
        <f t="shared" si="14"/>
        <v>12</v>
      </c>
      <c r="W239" s="5" t="s">
        <v>10</v>
      </c>
      <c r="X239" s="5">
        <v>58</v>
      </c>
      <c r="Y239" s="5">
        <v>1914.2</v>
      </c>
      <c r="Z239" s="5">
        <v>165</v>
      </c>
      <c r="AA239" s="5" t="s">
        <v>68</v>
      </c>
      <c r="AB239" s="5"/>
      <c r="AC239" s="5"/>
      <c r="AD239" s="5"/>
      <c r="AE239" s="5"/>
      <c r="AF239" s="5" t="s">
        <v>68</v>
      </c>
      <c r="AG239" s="5"/>
      <c r="AH239" s="12" t="s">
        <v>48</v>
      </c>
      <c r="AI239" s="12"/>
      <c r="AJ239" s="12"/>
      <c r="AK239" s="12"/>
      <c r="AL239" s="12"/>
      <c r="AM239" s="12" t="str">
        <f t="shared" si="13"/>
        <v>_</v>
      </c>
      <c r="AN239" s="12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</row>
    <row r="240" spans="1:240" s="2" customFormat="1" ht="30" customHeight="1">
      <c r="A240" s="5">
        <v>238</v>
      </c>
      <c r="B240" s="5" t="s">
        <v>68</v>
      </c>
      <c r="C240" s="5"/>
      <c r="D240" s="5"/>
      <c r="E240" s="5">
        <v>7455</v>
      </c>
      <c r="F240" s="5">
        <v>2249</v>
      </c>
      <c r="G240" s="5">
        <v>1252</v>
      </c>
      <c r="H240" s="5">
        <v>1020</v>
      </c>
      <c r="I240" s="5" t="s">
        <v>13</v>
      </c>
      <c r="J240" s="34">
        <v>69.206648919045008</v>
      </c>
      <c r="K240" s="10">
        <v>5</v>
      </c>
      <c r="L240" s="11">
        <v>399.1</v>
      </c>
      <c r="M240" s="31">
        <v>10</v>
      </c>
      <c r="N240" s="5">
        <v>119</v>
      </c>
      <c r="O240" s="5">
        <v>172562</v>
      </c>
      <c r="P240" s="5" t="s">
        <v>48</v>
      </c>
      <c r="Q240" s="5">
        <v>2</v>
      </c>
      <c r="R240" s="5">
        <v>8</v>
      </c>
      <c r="S240" s="5">
        <v>800</v>
      </c>
      <c r="T240" s="5">
        <v>660</v>
      </c>
      <c r="U240" s="5">
        <v>880</v>
      </c>
      <c r="V240" s="5">
        <f t="shared" si="14"/>
        <v>16</v>
      </c>
      <c r="W240" s="5" t="s">
        <v>10</v>
      </c>
      <c r="X240" s="5">
        <v>59</v>
      </c>
      <c r="Y240" s="5">
        <v>1018.5</v>
      </c>
      <c r="Z240" s="5">
        <v>88</v>
      </c>
      <c r="AA240" s="5" t="s">
        <v>68</v>
      </c>
      <c r="AB240" s="5"/>
      <c r="AC240" s="5"/>
      <c r="AD240" s="5"/>
      <c r="AE240" s="5"/>
      <c r="AF240" s="5" t="s">
        <v>68</v>
      </c>
      <c r="AG240" s="5"/>
      <c r="AH240" s="12">
        <v>21240</v>
      </c>
      <c r="AI240" s="12"/>
      <c r="AJ240" s="12"/>
      <c r="AK240" s="12"/>
      <c r="AL240" s="12"/>
      <c r="AM240" s="12">
        <f t="shared" si="13"/>
        <v>21240</v>
      </c>
      <c r="AN240" s="12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</row>
    <row r="241" spans="1:240" s="2" customFormat="1" ht="30" customHeight="1">
      <c r="A241" s="5">
        <v>239</v>
      </c>
      <c r="B241" s="5" t="s">
        <v>68</v>
      </c>
      <c r="C241" s="5"/>
      <c r="D241" s="5"/>
      <c r="E241" s="5">
        <v>7455</v>
      </c>
      <c r="F241" s="5">
        <v>2249</v>
      </c>
      <c r="G241" s="5">
        <v>1252</v>
      </c>
      <c r="H241" s="5">
        <v>1062</v>
      </c>
      <c r="I241" s="5" t="s">
        <v>13</v>
      </c>
      <c r="J241" s="34">
        <v>86.790097178606942</v>
      </c>
      <c r="K241" s="10">
        <v>5</v>
      </c>
      <c r="L241" s="11">
        <v>500.5</v>
      </c>
      <c r="M241" s="31">
        <v>10</v>
      </c>
      <c r="N241" s="5">
        <v>87</v>
      </c>
      <c r="O241" s="5">
        <v>164785</v>
      </c>
      <c r="P241" s="5" t="s">
        <v>48</v>
      </c>
      <c r="Q241" s="5">
        <v>2</v>
      </c>
      <c r="R241" s="5">
        <v>8</v>
      </c>
      <c r="S241" s="5">
        <v>800</v>
      </c>
      <c r="T241" s="5">
        <v>660</v>
      </c>
      <c r="U241" s="5">
        <v>880</v>
      </c>
      <c r="V241" s="5">
        <f t="shared" si="14"/>
        <v>16</v>
      </c>
      <c r="W241" s="5" t="s">
        <v>10</v>
      </c>
      <c r="X241" s="5">
        <v>59</v>
      </c>
      <c r="Y241" s="5">
        <v>1527.8</v>
      </c>
      <c r="Z241" s="5">
        <v>132</v>
      </c>
      <c r="AA241" s="5" t="s">
        <v>68</v>
      </c>
      <c r="AB241" s="5"/>
      <c r="AC241" s="5"/>
      <c r="AD241" s="5"/>
      <c r="AE241" s="5"/>
      <c r="AF241" s="5" t="s">
        <v>68</v>
      </c>
      <c r="AG241" s="5"/>
      <c r="AH241" s="12">
        <v>23790</v>
      </c>
      <c r="AI241" s="12"/>
      <c r="AJ241" s="12"/>
      <c r="AK241" s="12"/>
      <c r="AL241" s="12"/>
      <c r="AM241" s="12">
        <f t="shared" si="13"/>
        <v>23790</v>
      </c>
      <c r="AN241" s="12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</row>
    <row r="242" spans="1:240" s="2" customFormat="1" ht="30" customHeight="1">
      <c r="A242" s="5">
        <v>240</v>
      </c>
      <c r="B242" s="5" t="s">
        <v>68</v>
      </c>
      <c r="C242" s="5"/>
      <c r="D242" s="5"/>
      <c r="E242" s="5">
        <v>7455</v>
      </c>
      <c r="F242" s="5">
        <v>2249</v>
      </c>
      <c r="G242" s="5">
        <v>1252</v>
      </c>
      <c r="H242" s="5">
        <v>1196</v>
      </c>
      <c r="I242" s="5" t="s">
        <v>13</v>
      </c>
      <c r="J242" s="34">
        <v>97.333229862841293</v>
      </c>
      <c r="K242" s="10">
        <v>5</v>
      </c>
      <c r="L242" s="11">
        <v>561.29999999999995</v>
      </c>
      <c r="M242" s="31">
        <v>10</v>
      </c>
      <c r="N242" s="5">
        <v>64</v>
      </c>
      <c r="O242" s="5">
        <v>157470</v>
      </c>
      <c r="P242" s="5" t="s">
        <v>48</v>
      </c>
      <c r="Q242" s="5">
        <v>2</v>
      </c>
      <c r="R242" s="5">
        <v>8</v>
      </c>
      <c r="S242" s="5">
        <v>800</v>
      </c>
      <c r="T242" s="5">
        <v>660</v>
      </c>
      <c r="U242" s="5">
        <v>880</v>
      </c>
      <c r="V242" s="5">
        <f t="shared" si="14"/>
        <v>16</v>
      </c>
      <c r="W242" s="5" t="s">
        <v>10</v>
      </c>
      <c r="X242" s="5">
        <v>59</v>
      </c>
      <c r="Y242" s="5">
        <v>2037</v>
      </c>
      <c r="Z242" s="5">
        <v>176</v>
      </c>
      <c r="AA242" s="5" t="s">
        <v>68</v>
      </c>
      <c r="AB242" s="5"/>
      <c r="AC242" s="5"/>
      <c r="AD242" s="5"/>
      <c r="AE242" s="5"/>
      <c r="AF242" s="5" t="s">
        <v>68</v>
      </c>
      <c r="AG242" s="5"/>
      <c r="AH242" s="12">
        <v>26340</v>
      </c>
      <c r="AI242" s="12"/>
      <c r="AJ242" s="12"/>
      <c r="AK242" s="12"/>
      <c r="AL242" s="12"/>
      <c r="AM242" s="12">
        <f t="shared" si="13"/>
        <v>26340</v>
      </c>
      <c r="AN242" s="12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</row>
    <row r="243" spans="1:240" s="2" customFormat="1" ht="30" customHeight="1">
      <c r="A243" s="5">
        <v>241</v>
      </c>
      <c r="B243" s="5" t="s">
        <v>68</v>
      </c>
      <c r="C243" s="5"/>
      <c r="D243" s="5"/>
      <c r="E243" s="5">
        <v>7455</v>
      </c>
      <c r="F243" s="5">
        <v>2249</v>
      </c>
      <c r="G243" s="5">
        <v>1252</v>
      </c>
      <c r="H243" s="5">
        <v>1316</v>
      </c>
      <c r="I243" s="5" t="s">
        <v>13</v>
      </c>
      <c r="J243" s="34">
        <v>103.02097249512562</v>
      </c>
      <c r="K243" s="10">
        <v>5</v>
      </c>
      <c r="L243" s="11">
        <v>594.1</v>
      </c>
      <c r="M243" s="31">
        <v>10</v>
      </c>
      <c r="N243" s="5">
        <v>48</v>
      </c>
      <c r="O243" s="5">
        <v>150728</v>
      </c>
      <c r="P243" s="5" t="s">
        <v>48</v>
      </c>
      <c r="Q243" s="5">
        <v>2</v>
      </c>
      <c r="R243" s="5">
        <v>8</v>
      </c>
      <c r="S243" s="5">
        <v>800</v>
      </c>
      <c r="T243" s="5">
        <v>660</v>
      </c>
      <c r="U243" s="5">
        <v>880</v>
      </c>
      <c r="V243" s="5">
        <f t="shared" si="14"/>
        <v>16</v>
      </c>
      <c r="W243" s="5" t="s">
        <v>10</v>
      </c>
      <c r="X243" s="5">
        <v>59</v>
      </c>
      <c r="Y243" s="5">
        <v>2546.3000000000002</v>
      </c>
      <c r="Z243" s="5">
        <v>220</v>
      </c>
      <c r="AA243" s="5" t="s">
        <v>68</v>
      </c>
      <c r="AB243" s="5"/>
      <c r="AC243" s="5"/>
      <c r="AD243" s="5"/>
      <c r="AE243" s="5"/>
      <c r="AF243" s="5" t="s">
        <v>68</v>
      </c>
      <c r="AG243" s="5"/>
      <c r="AH243" s="12" t="s">
        <v>48</v>
      </c>
      <c r="AI243" s="12"/>
      <c r="AJ243" s="12"/>
      <c r="AK243" s="12"/>
      <c r="AL243" s="12"/>
      <c r="AM243" s="12" t="str">
        <f t="shared" si="13"/>
        <v>_</v>
      </c>
      <c r="AN243" s="12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</row>
    <row r="244" spans="1:240" s="2" customFormat="1" ht="30" customHeight="1">
      <c r="A244" s="5">
        <v>242</v>
      </c>
      <c r="B244" s="5" t="s">
        <v>68</v>
      </c>
      <c r="C244" s="5"/>
      <c r="D244" s="5"/>
      <c r="E244" s="5">
        <v>9205</v>
      </c>
      <c r="F244" s="5">
        <v>2249</v>
      </c>
      <c r="G244" s="5">
        <v>1252</v>
      </c>
      <c r="H244" s="5">
        <v>1330</v>
      </c>
      <c r="I244" s="5" t="s">
        <v>13</v>
      </c>
      <c r="J244" s="34">
        <v>83.755478396138159</v>
      </c>
      <c r="K244" s="10">
        <v>5</v>
      </c>
      <c r="L244" s="11">
        <v>483</v>
      </c>
      <c r="M244" s="31">
        <v>10</v>
      </c>
      <c r="N244" s="5">
        <v>30.1</v>
      </c>
      <c r="O244" s="5">
        <v>215655</v>
      </c>
      <c r="P244" s="5" t="s">
        <v>48</v>
      </c>
      <c r="Q244" s="5">
        <v>2</v>
      </c>
      <c r="R244" s="5">
        <v>10</v>
      </c>
      <c r="S244" s="5">
        <v>800</v>
      </c>
      <c r="T244" s="5">
        <v>660</v>
      </c>
      <c r="U244" s="5">
        <v>880</v>
      </c>
      <c r="V244" s="5">
        <f t="shared" si="14"/>
        <v>20</v>
      </c>
      <c r="W244" s="5" t="s">
        <v>10</v>
      </c>
      <c r="X244" s="5">
        <v>60</v>
      </c>
      <c r="Y244" s="5">
        <v>1271.3</v>
      </c>
      <c r="Z244" s="5">
        <v>110</v>
      </c>
      <c r="AA244" s="5" t="s">
        <v>68</v>
      </c>
      <c r="AB244" s="5"/>
      <c r="AC244" s="5"/>
      <c r="AD244" s="5"/>
      <c r="AE244" s="5"/>
      <c r="AF244" s="5" t="s">
        <v>68</v>
      </c>
      <c r="AG244" s="5"/>
      <c r="AH244" s="12">
        <v>25702</v>
      </c>
      <c r="AI244" s="12"/>
      <c r="AJ244" s="12"/>
      <c r="AK244" s="12"/>
      <c r="AL244" s="12"/>
      <c r="AM244" s="12">
        <f t="shared" si="13"/>
        <v>25702</v>
      </c>
      <c r="AN244" s="12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</row>
    <row r="245" spans="1:240" s="2" customFormat="1" ht="30" customHeight="1">
      <c r="A245" s="5">
        <v>243</v>
      </c>
      <c r="B245" s="5" t="s">
        <v>68</v>
      </c>
      <c r="C245" s="5"/>
      <c r="D245" s="5"/>
      <c r="E245" s="5">
        <v>9205</v>
      </c>
      <c r="F245" s="5">
        <v>2249</v>
      </c>
      <c r="G245" s="5">
        <v>1252</v>
      </c>
      <c r="H245" s="5">
        <v>1175</v>
      </c>
      <c r="I245" s="5" t="s">
        <v>13</v>
      </c>
      <c r="J245" s="34">
        <v>105.15387598223225</v>
      </c>
      <c r="K245" s="10">
        <v>5</v>
      </c>
      <c r="L245" s="11">
        <v>606.4</v>
      </c>
      <c r="M245" s="31">
        <v>10</v>
      </c>
      <c r="N245" s="5">
        <v>22</v>
      </c>
      <c r="O245" s="5">
        <v>205913</v>
      </c>
      <c r="P245" s="5" t="s">
        <v>48</v>
      </c>
      <c r="Q245" s="5">
        <v>2</v>
      </c>
      <c r="R245" s="5">
        <v>10</v>
      </c>
      <c r="S245" s="5">
        <v>800</v>
      </c>
      <c r="T245" s="5">
        <v>660</v>
      </c>
      <c r="U245" s="5">
        <v>880</v>
      </c>
      <c r="V245" s="5">
        <f t="shared" si="14"/>
        <v>20</v>
      </c>
      <c r="W245" s="5" t="s">
        <v>10</v>
      </c>
      <c r="X245" s="5">
        <v>60</v>
      </c>
      <c r="Y245" s="5">
        <v>1907</v>
      </c>
      <c r="Z245" s="5">
        <v>164</v>
      </c>
      <c r="AA245" s="5" t="s">
        <v>68</v>
      </c>
      <c r="AB245" s="5"/>
      <c r="AC245" s="5"/>
      <c r="AD245" s="5"/>
      <c r="AE245" s="5"/>
      <c r="AF245" s="5" t="s">
        <v>68</v>
      </c>
      <c r="AG245" s="5"/>
      <c r="AH245" s="12">
        <v>29352</v>
      </c>
      <c r="AI245" s="12"/>
      <c r="AJ245" s="12"/>
      <c r="AK245" s="12"/>
      <c r="AL245" s="12"/>
      <c r="AM245" s="12">
        <f t="shared" si="13"/>
        <v>29352</v>
      </c>
      <c r="AN245" s="12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</row>
    <row r="246" spans="1:240" s="2" customFormat="1" ht="30" customHeight="1">
      <c r="A246" s="5">
        <v>244</v>
      </c>
      <c r="B246" s="5" t="s">
        <v>68</v>
      </c>
      <c r="C246" s="5"/>
      <c r="D246" s="5"/>
      <c r="E246" s="5">
        <v>9205</v>
      </c>
      <c r="F246" s="5">
        <v>2249</v>
      </c>
      <c r="G246" s="5">
        <v>1252</v>
      </c>
      <c r="H246" s="5">
        <v>1473</v>
      </c>
      <c r="I246" s="5" t="s">
        <v>13</v>
      </c>
      <c r="J246" s="34">
        <v>122.66796152676633</v>
      </c>
      <c r="K246" s="10">
        <v>5</v>
      </c>
      <c r="L246" s="11">
        <v>707.4</v>
      </c>
      <c r="M246" s="31">
        <v>10</v>
      </c>
      <c r="N246" s="5">
        <v>120</v>
      </c>
      <c r="O246" s="5">
        <v>196753</v>
      </c>
      <c r="P246" s="5" t="s">
        <v>48</v>
      </c>
      <c r="Q246" s="5">
        <v>2</v>
      </c>
      <c r="R246" s="5">
        <v>10</v>
      </c>
      <c r="S246" s="5">
        <v>800</v>
      </c>
      <c r="T246" s="5">
        <v>660</v>
      </c>
      <c r="U246" s="5">
        <v>880</v>
      </c>
      <c r="V246" s="5">
        <f t="shared" si="14"/>
        <v>20</v>
      </c>
      <c r="W246" s="5" t="s">
        <v>10</v>
      </c>
      <c r="X246" s="5">
        <v>60</v>
      </c>
      <c r="Y246" s="5">
        <v>2542.6999999999998</v>
      </c>
      <c r="Z246" s="5">
        <v>219</v>
      </c>
      <c r="AA246" s="5" t="s">
        <v>68</v>
      </c>
      <c r="AB246" s="5"/>
      <c r="AC246" s="5"/>
      <c r="AD246" s="5"/>
      <c r="AE246" s="5"/>
      <c r="AF246" s="5" t="s">
        <v>68</v>
      </c>
      <c r="AG246" s="5"/>
      <c r="AH246" s="12">
        <v>32952</v>
      </c>
      <c r="AI246" s="12"/>
      <c r="AJ246" s="12"/>
      <c r="AK246" s="12"/>
      <c r="AL246" s="12"/>
      <c r="AM246" s="12">
        <f t="shared" si="13"/>
        <v>32952</v>
      </c>
      <c r="AN246" s="12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</row>
    <row r="247" spans="1:240" s="2" customFormat="1" ht="30" customHeight="1">
      <c r="A247" s="5">
        <v>245</v>
      </c>
      <c r="B247" s="5" t="s">
        <v>68</v>
      </c>
      <c r="C247" s="5"/>
      <c r="D247" s="5"/>
      <c r="E247" s="5">
        <v>9205</v>
      </c>
      <c r="F247" s="5">
        <v>2249</v>
      </c>
      <c r="G247" s="5">
        <v>1252</v>
      </c>
      <c r="H247" s="5">
        <v>1620</v>
      </c>
      <c r="I247" s="5" t="s">
        <v>13</v>
      </c>
      <c r="J247" s="34">
        <v>129.76029913836476</v>
      </c>
      <c r="K247" s="10">
        <v>5</v>
      </c>
      <c r="L247" s="11">
        <v>748.3</v>
      </c>
      <c r="M247" s="31">
        <v>10</v>
      </c>
      <c r="N247" s="5">
        <v>89</v>
      </c>
      <c r="O247" s="5">
        <v>188313</v>
      </c>
      <c r="P247" s="5" t="s">
        <v>48</v>
      </c>
      <c r="Q247" s="5">
        <v>2</v>
      </c>
      <c r="R247" s="5">
        <v>10</v>
      </c>
      <c r="S247" s="5">
        <v>800</v>
      </c>
      <c r="T247" s="5">
        <v>660</v>
      </c>
      <c r="U247" s="5">
        <v>880</v>
      </c>
      <c r="V247" s="5">
        <f t="shared" si="14"/>
        <v>20</v>
      </c>
      <c r="W247" s="5" t="s">
        <v>10</v>
      </c>
      <c r="X247" s="5">
        <v>60</v>
      </c>
      <c r="Y247" s="5">
        <v>3178.3</v>
      </c>
      <c r="Z247" s="5">
        <v>274</v>
      </c>
      <c r="AA247" s="5" t="s">
        <v>68</v>
      </c>
      <c r="AB247" s="5"/>
      <c r="AC247" s="5"/>
      <c r="AD247" s="5"/>
      <c r="AE247" s="5"/>
      <c r="AF247" s="5" t="s">
        <v>68</v>
      </c>
      <c r="AG247" s="5"/>
      <c r="AH247" s="12" t="s">
        <v>48</v>
      </c>
      <c r="AI247" s="12"/>
      <c r="AJ247" s="12"/>
      <c r="AK247" s="12"/>
      <c r="AL247" s="12"/>
      <c r="AM247" s="12" t="str">
        <f t="shared" si="13"/>
        <v>_</v>
      </c>
      <c r="AN247" s="12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</row>
    <row r="248" spans="1:240" s="2" customFormat="1" ht="30" customHeight="1">
      <c r="A248" s="5">
        <v>246</v>
      </c>
      <c r="B248" s="5" t="s">
        <v>68</v>
      </c>
      <c r="C248" s="5"/>
      <c r="D248" s="5"/>
      <c r="E248" s="5">
        <v>10955</v>
      </c>
      <c r="F248" s="5">
        <v>2249</v>
      </c>
      <c r="G248" s="5">
        <v>1252</v>
      </c>
      <c r="H248" s="5">
        <v>1640</v>
      </c>
      <c r="I248" s="5" t="s">
        <v>13</v>
      </c>
      <c r="J248" s="34">
        <v>101.82446566089509</v>
      </c>
      <c r="K248" s="10">
        <v>5</v>
      </c>
      <c r="L248" s="11">
        <v>587.20000000000005</v>
      </c>
      <c r="M248" s="31">
        <v>10</v>
      </c>
      <c r="N248" s="5">
        <v>50.9</v>
      </c>
      <c r="O248" s="5">
        <v>258748</v>
      </c>
      <c r="P248" s="5" t="s">
        <v>48</v>
      </c>
      <c r="Q248" s="5">
        <v>2</v>
      </c>
      <c r="R248" s="5">
        <v>12</v>
      </c>
      <c r="S248" s="5">
        <v>800</v>
      </c>
      <c r="T248" s="5">
        <v>660</v>
      </c>
      <c r="U248" s="5">
        <v>880</v>
      </c>
      <c r="V248" s="5">
        <f t="shared" si="14"/>
        <v>24</v>
      </c>
      <c r="W248" s="5" t="s">
        <v>10</v>
      </c>
      <c r="X248" s="5">
        <v>61</v>
      </c>
      <c r="Y248" s="5">
        <v>1524.2</v>
      </c>
      <c r="Z248" s="5">
        <v>132</v>
      </c>
      <c r="AA248" s="5" t="s">
        <v>68</v>
      </c>
      <c r="AB248" s="5"/>
      <c r="AC248" s="5"/>
      <c r="AD248" s="5"/>
      <c r="AE248" s="5"/>
      <c r="AF248" s="5" t="s">
        <v>68</v>
      </c>
      <c r="AG248" s="5"/>
      <c r="AH248" s="12">
        <v>29619</v>
      </c>
      <c r="AI248" s="12"/>
      <c r="AJ248" s="12"/>
      <c r="AK248" s="12"/>
      <c r="AL248" s="12"/>
      <c r="AM248" s="12">
        <f t="shared" si="13"/>
        <v>29619</v>
      </c>
      <c r="AN248" s="12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</row>
    <row r="249" spans="1:240" s="2" customFormat="1" ht="30" customHeight="1">
      <c r="A249" s="5">
        <v>247</v>
      </c>
      <c r="B249" s="5" t="s">
        <v>68</v>
      </c>
      <c r="C249" s="5"/>
      <c r="D249" s="5"/>
      <c r="E249" s="5">
        <v>10955</v>
      </c>
      <c r="F249" s="5">
        <v>2249</v>
      </c>
      <c r="G249" s="5">
        <v>1252</v>
      </c>
      <c r="H249" s="5">
        <v>1396</v>
      </c>
      <c r="I249" s="5" t="s">
        <v>13</v>
      </c>
      <c r="J249" s="34">
        <v>127.7487804025569</v>
      </c>
      <c r="K249" s="10">
        <v>5</v>
      </c>
      <c r="L249" s="11">
        <v>736.7</v>
      </c>
      <c r="M249" s="31">
        <v>10</v>
      </c>
      <c r="N249" s="5">
        <v>37</v>
      </c>
      <c r="O249" s="5">
        <v>247041</v>
      </c>
      <c r="P249" s="5" t="s">
        <v>48</v>
      </c>
      <c r="Q249" s="5">
        <v>2</v>
      </c>
      <c r="R249" s="5">
        <v>12</v>
      </c>
      <c r="S249" s="5">
        <v>800</v>
      </c>
      <c r="T249" s="5">
        <v>660</v>
      </c>
      <c r="U249" s="5">
        <v>880</v>
      </c>
      <c r="V249" s="5">
        <f t="shared" si="14"/>
        <v>24</v>
      </c>
      <c r="W249" s="5" t="s">
        <v>10</v>
      </c>
      <c r="X249" s="5">
        <v>61</v>
      </c>
      <c r="Y249" s="5">
        <v>2286.1999999999998</v>
      </c>
      <c r="Z249" s="5">
        <v>197</v>
      </c>
      <c r="AA249" s="5" t="s">
        <v>68</v>
      </c>
      <c r="AB249" s="5"/>
      <c r="AC249" s="5"/>
      <c r="AD249" s="5"/>
      <c r="AE249" s="5"/>
      <c r="AF249" s="5" t="s">
        <v>68</v>
      </c>
      <c r="AG249" s="5"/>
      <c r="AH249" s="12">
        <v>34369</v>
      </c>
      <c r="AI249" s="12"/>
      <c r="AJ249" s="12"/>
      <c r="AK249" s="12"/>
      <c r="AL249" s="12"/>
      <c r="AM249" s="12">
        <f t="shared" si="13"/>
        <v>34369</v>
      </c>
      <c r="AN249" s="12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</row>
    <row r="250" spans="1:240" s="2" customFormat="1" ht="30" customHeight="1">
      <c r="A250" s="5">
        <v>248</v>
      </c>
      <c r="B250" s="5" t="s">
        <v>68</v>
      </c>
      <c r="C250" s="5"/>
      <c r="D250" s="5"/>
      <c r="E250" s="5">
        <v>10955</v>
      </c>
      <c r="F250" s="5">
        <v>2249</v>
      </c>
      <c r="G250" s="5">
        <v>1252</v>
      </c>
      <c r="H250" s="5">
        <v>1745</v>
      </c>
      <c r="I250" s="5" t="s">
        <v>13</v>
      </c>
      <c r="J250" s="34">
        <v>143.47677603512361</v>
      </c>
      <c r="K250" s="10">
        <v>5</v>
      </c>
      <c r="L250" s="11">
        <v>827.4</v>
      </c>
      <c r="M250" s="31">
        <v>10</v>
      </c>
      <c r="N250" s="5">
        <v>27</v>
      </c>
      <c r="O250" s="5">
        <v>236036</v>
      </c>
      <c r="P250" s="5" t="s">
        <v>48</v>
      </c>
      <c r="Q250" s="5">
        <v>2</v>
      </c>
      <c r="R250" s="5">
        <v>12</v>
      </c>
      <c r="S250" s="5">
        <v>800</v>
      </c>
      <c r="T250" s="5">
        <v>660</v>
      </c>
      <c r="U250" s="5">
        <v>880</v>
      </c>
      <c r="V250" s="5">
        <f t="shared" si="14"/>
        <v>24</v>
      </c>
      <c r="W250" s="5" t="s">
        <v>10</v>
      </c>
      <c r="X250" s="5">
        <v>61</v>
      </c>
      <c r="Y250" s="5">
        <v>3048.3</v>
      </c>
      <c r="Z250" s="5">
        <v>263</v>
      </c>
      <c r="AA250" s="5" t="s">
        <v>68</v>
      </c>
      <c r="AB250" s="5"/>
      <c r="AC250" s="5"/>
      <c r="AD250" s="5"/>
      <c r="AE250" s="5"/>
      <c r="AF250" s="5" t="s">
        <v>68</v>
      </c>
      <c r="AG250" s="5"/>
      <c r="AH250" s="12">
        <v>39119</v>
      </c>
      <c r="AI250" s="12"/>
      <c r="AJ250" s="12"/>
      <c r="AK250" s="12"/>
      <c r="AL250" s="12"/>
      <c r="AM250" s="12">
        <f t="shared" si="13"/>
        <v>39119</v>
      </c>
      <c r="AN250" s="12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</row>
    <row r="251" spans="1:240" s="2" customFormat="1" ht="30" customHeight="1">
      <c r="A251" s="5">
        <v>249</v>
      </c>
      <c r="B251" s="5" t="s">
        <v>68</v>
      </c>
      <c r="C251" s="5"/>
      <c r="D251" s="5"/>
      <c r="E251" s="5">
        <v>10955</v>
      </c>
      <c r="F251" s="5">
        <v>2249</v>
      </c>
      <c r="G251" s="5">
        <v>1252</v>
      </c>
      <c r="H251" s="5">
        <v>1920</v>
      </c>
      <c r="I251" s="5" t="s">
        <v>13</v>
      </c>
      <c r="J251" s="34">
        <v>152.16445609236283</v>
      </c>
      <c r="K251" s="10">
        <v>5</v>
      </c>
      <c r="L251" s="11">
        <v>877.5</v>
      </c>
      <c r="M251" s="31">
        <v>10</v>
      </c>
      <c r="N251" s="5">
        <v>20</v>
      </c>
      <c r="O251" s="5">
        <v>225898</v>
      </c>
      <c r="P251" s="5" t="s">
        <v>48</v>
      </c>
      <c r="Q251" s="5">
        <v>2</v>
      </c>
      <c r="R251" s="5">
        <v>12</v>
      </c>
      <c r="S251" s="5">
        <v>800</v>
      </c>
      <c r="T251" s="5">
        <v>660</v>
      </c>
      <c r="U251" s="5">
        <v>880</v>
      </c>
      <c r="V251" s="5">
        <f t="shared" si="14"/>
        <v>24</v>
      </c>
      <c r="W251" s="5" t="s">
        <v>10</v>
      </c>
      <c r="X251" s="5">
        <v>61</v>
      </c>
      <c r="Y251" s="5">
        <v>3810.4</v>
      </c>
      <c r="Z251" s="5">
        <v>328</v>
      </c>
      <c r="AA251" s="5" t="s">
        <v>68</v>
      </c>
      <c r="AB251" s="5"/>
      <c r="AC251" s="5"/>
      <c r="AD251" s="5"/>
      <c r="AE251" s="5"/>
      <c r="AF251" s="5" t="s">
        <v>68</v>
      </c>
      <c r="AG251" s="5"/>
      <c r="AH251" s="12" t="s">
        <v>48</v>
      </c>
      <c r="AI251" s="12"/>
      <c r="AJ251" s="12"/>
      <c r="AK251" s="12"/>
      <c r="AL251" s="12"/>
      <c r="AM251" s="12" t="str">
        <f t="shared" si="13"/>
        <v>_</v>
      </c>
      <c r="AN251" s="12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</row>
    <row r="252" spans="1:240" s="2" customFormat="1" ht="30" customHeight="1">
      <c r="A252" s="5">
        <v>250</v>
      </c>
      <c r="B252" s="5" t="s">
        <v>68</v>
      </c>
      <c r="C252" s="5"/>
      <c r="D252" s="5"/>
      <c r="E252" s="5">
        <v>4655</v>
      </c>
      <c r="F252" s="5">
        <v>2249</v>
      </c>
      <c r="G252" s="5">
        <v>1289</v>
      </c>
      <c r="H252" s="5">
        <v>951</v>
      </c>
      <c r="I252" s="5" t="s">
        <v>13</v>
      </c>
      <c r="J252" s="34">
        <v>37.074371182389939</v>
      </c>
      <c r="K252" s="10">
        <v>5</v>
      </c>
      <c r="L252" s="11">
        <v>213.8</v>
      </c>
      <c r="M252" s="31">
        <v>10</v>
      </c>
      <c r="N252" s="5">
        <v>24.3</v>
      </c>
      <c r="O252" s="5">
        <v>89290</v>
      </c>
      <c r="P252" s="5" t="s">
        <v>48</v>
      </c>
      <c r="Q252" s="5">
        <v>2</v>
      </c>
      <c r="R252" s="5">
        <v>4</v>
      </c>
      <c r="S252" s="5">
        <v>900</v>
      </c>
      <c r="T252" s="5">
        <v>660</v>
      </c>
      <c r="U252" s="5">
        <v>860</v>
      </c>
      <c r="V252" s="5">
        <f t="shared" ref="V252:V267" si="15">1.65*R252</f>
        <v>6.6</v>
      </c>
      <c r="W252" s="5" t="s">
        <v>10</v>
      </c>
      <c r="X252" s="5">
        <v>58</v>
      </c>
      <c r="Y252" s="5">
        <v>614</v>
      </c>
      <c r="Z252" s="5">
        <v>52.9</v>
      </c>
      <c r="AA252" s="5" t="s">
        <v>68</v>
      </c>
      <c r="AB252" s="5"/>
      <c r="AC252" s="5"/>
      <c r="AD252" s="5"/>
      <c r="AE252" s="5"/>
      <c r="AF252" s="5" t="s">
        <v>68</v>
      </c>
      <c r="AG252" s="5"/>
      <c r="AH252" s="12">
        <v>12185</v>
      </c>
      <c r="AI252" s="12"/>
      <c r="AJ252" s="12"/>
      <c r="AK252" s="12"/>
      <c r="AL252" s="12"/>
      <c r="AM252" s="12">
        <f t="shared" si="13"/>
        <v>12185</v>
      </c>
      <c r="AN252" s="12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</row>
    <row r="253" spans="1:240" s="2" customFormat="1" ht="30" customHeight="1">
      <c r="A253" s="5">
        <v>251</v>
      </c>
      <c r="B253" s="5" t="s">
        <v>68</v>
      </c>
      <c r="C253" s="5"/>
      <c r="D253" s="5"/>
      <c r="E253" s="5">
        <v>4655</v>
      </c>
      <c r="F253" s="5">
        <v>2249</v>
      </c>
      <c r="G253" s="5">
        <v>1289</v>
      </c>
      <c r="H253" s="5">
        <v>870</v>
      </c>
      <c r="I253" s="5" t="s">
        <v>13</v>
      </c>
      <c r="J253" s="34">
        <v>47.513459794082515</v>
      </c>
      <c r="K253" s="10">
        <v>5</v>
      </c>
      <c r="L253" s="11">
        <v>274</v>
      </c>
      <c r="M253" s="31">
        <v>10</v>
      </c>
      <c r="N253" s="5">
        <v>57</v>
      </c>
      <c r="O253" s="5">
        <v>86131</v>
      </c>
      <c r="P253" s="5" t="s">
        <v>48</v>
      </c>
      <c r="Q253" s="5">
        <v>2</v>
      </c>
      <c r="R253" s="5">
        <v>4</v>
      </c>
      <c r="S253" s="5">
        <v>900</v>
      </c>
      <c r="T253" s="5">
        <v>660</v>
      </c>
      <c r="U253" s="5">
        <v>860</v>
      </c>
      <c r="V253" s="5">
        <f t="shared" si="15"/>
        <v>6.6</v>
      </c>
      <c r="W253" s="5" t="s">
        <v>10</v>
      </c>
      <c r="X253" s="5">
        <v>58</v>
      </c>
      <c r="Y253" s="5">
        <v>921</v>
      </c>
      <c r="Z253" s="5">
        <v>79.400000000000006</v>
      </c>
      <c r="AA253" s="5" t="s">
        <v>68</v>
      </c>
      <c r="AB253" s="5"/>
      <c r="AC253" s="5"/>
      <c r="AD253" s="5"/>
      <c r="AE253" s="5"/>
      <c r="AF253" s="5" t="s">
        <v>68</v>
      </c>
      <c r="AG253" s="5"/>
      <c r="AH253" s="12">
        <v>14185</v>
      </c>
      <c r="AI253" s="12"/>
      <c r="AJ253" s="12"/>
      <c r="AK253" s="12"/>
      <c r="AL253" s="12"/>
      <c r="AM253" s="12">
        <f t="shared" si="13"/>
        <v>14185</v>
      </c>
      <c r="AN253" s="12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</row>
    <row r="254" spans="1:240" s="2" customFormat="1" ht="30" customHeight="1">
      <c r="A254" s="5">
        <v>252</v>
      </c>
      <c r="B254" s="5" t="s">
        <v>68</v>
      </c>
      <c r="C254" s="5"/>
      <c r="D254" s="5"/>
      <c r="E254" s="5">
        <v>4655</v>
      </c>
      <c r="F254" s="5">
        <v>2249</v>
      </c>
      <c r="G254" s="5">
        <v>1289</v>
      </c>
      <c r="H254" s="5">
        <v>930</v>
      </c>
      <c r="I254" s="5" t="s">
        <v>13</v>
      </c>
      <c r="J254" s="34">
        <v>53.062476996311126</v>
      </c>
      <c r="K254" s="10">
        <v>5</v>
      </c>
      <c r="L254" s="11">
        <v>306</v>
      </c>
      <c r="M254" s="31">
        <v>10</v>
      </c>
      <c r="N254" s="5">
        <v>42.7</v>
      </c>
      <c r="O254" s="5">
        <v>82981</v>
      </c>
      <c r="P254" s="5" t="s">
        <v>48</v>
      </c>
      <c r="Q254" s="5">
        <v>2</v>
      </c>
      <c r="R254" s="5">
        <v>4</v>
      </c>
      <c r="S254" s="5">
        <v>900</v>
      </c>
      <c r="T254" s="5">
        <v>660</v>
      </c>
      <c r="U254" s="5">
        <v>860</v>
      </c>
      <c r="V254" s="5">
        <f t="shared" si="15"/>
        <v>6.6</v>
      </c>
      <c r="W254" s="5" t="s">
        <v>10</v>
      </c>
      <c r="X254" s="5">
        <v>58</v>
      </c>
      <c r="Y254" s="5">
        <v>1228</v>
      </c>
      <c r="Z254" s="5">
        <v>105.8</v>
      </c>
      <c r="AA254" s="5" t="s">
        <v>68</v>
      </c>
      <c r="AB254" s="5"/>
      <c r="AC254" s="5"/>
      <c r="AD254" s="5"/>
      <c r="AE254" s="5"/>
      <c r="AF254" s="5" t="s">
        <v>68</v>
      </c>
      <c r="AG254" s="5"/>
      <c r="AH254" s="12">
        <v>16185</v>
      </c>
      <c r="AI254" s="12"/>
      <c r="AJ254" s="12"/>
      <c r="AK254" s="12"/>
      <c r="AL254" s="12"/>
      <c r="AM254" s="12">
        <f t="shared" si="13"/>
        <v>16185</v>
      </c>
      <c r="AN254" s="12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</row>
    <row r="255" spans="1:240" s="2" customFormat="1" ht="30" customHeight="1">
      <c r="A255" s="5">
        <v>253</v>
      </c>
      <c r="B255" s="5" t="s">
        <v>68</v>
      </c>
      <c r="C255" s="5"/>
      <c r="D255" s="5"/>
      <c r="E255" s="5">
        <v>4655</v>
      </c>
      <c r="F255" s="5">
        <v>2249</v>
      </c>
      <c r="G255" s="5">
        <v>1289</v>
      </c>
      <c r="H255" s="5">
        <v>1000</v>
      </c>
      <c r="I255" s="5" t="s">
        <v>13</v>
      </c>
      <c r="J255" s="34">
        <v>56.634656820245802</v>
      </c>
      <c r="K255" s="10">
        <v>5</v>
      </c>
      <c r="L255" s="11">
        <v>326.60000000000002</v>
      </c>
      <c r="M255" s="31">
        <v>10</v>
      </c>
      <c r="N255" s="5">
        <v>69.8</v>
      </c>
      <c r="O255" s="5">
        <v>79949</v>
      </c>
      <c r="P255" s="5" t="s">
        <v>48</v>
      </c>
      <c r="Q255" s="5">
        <v>2</v>
      </c>
      <c r="R255" s="5">
        <v>4</v>
      </c>
      <c r="S255" s="5">
        <v>900</v>
      </c>
      <c r="T255" s="5">
        <v>660</v>
      </c>
      <c r="U255" s="5">
        <v>860</v>
      </c>
      <c r="V255" s="5">
        <f t="shared" si="15"/>
        <v>6.6</v>
      </c>
      <c r="W255" s="5" t="s">
        <v>10</v>
      </c>
      <c r="X255" s="5">
        <v>58</v>
      </c>
      <c r="Y255" s="5">
        <v>1535</v>
      </c>
      <c r="Z255" s="5">
        <v>132.30000000000001</v>
      </c>
      <c r="AA255" s="5" t="s">
        <v>68</v>
      </c>
      <c r="AB255" s="5"/>
      <c r="AC255" s="5"/>
      <c r="AD255" s="5"/>
      <c r="AE255" s="5"/>
      <c r="AF255" s="5" t="s">
        <v>68</v>
      </c>
      <c r="AG255" s="5"/>
      <c r="AH255" s="12" t="s">
        <v>48</v>
      </c>
      <c r="AI255" s="12"/>
      <c r="AJ255" s="12"/>
      <c r="AK255" s="12"/>
      <c r="AL255" s="12"/>
      <c r="AM255" s="12" t="str">
        <f t="shared" si="13"/>
        <v>_</v>
      </c>
      <c r="AN255" s="12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</row>
    <row r="256" spans="1:240" s="2" customFormat="1" ht="30" customHeight="1">
      <c r="A256" s="5">
        <v>254</v>
      </c>
      <c r="B256" s="5" t="s">
        <v>68</v>
      </c>
      <c r="C256" s="5"/>
      <c r="D256" s="5"/>
      <c r="E256" s="5">
        <v>6755</v>
      </c>
      <c r="F256" s="5">
        <v>2249</v>
      </c>
      <c r="G256" s="5">
        <v>1289</v>
      </c>
      <c r="H256" s="5">
        <v>1050</v>
      </c>
      <c r="I256" s="5" t="s">
        <v>13</v>
      </c>
      <c r="J256" s="34">
        <v>57.050833110412945</v>
      </c>
      <c r="K256" s="10">
        <v>5</v>
      </c>
      <c r="L256" s="11">
        <v>329</v>
      </c>
      <c r="M256" s="31">
        <v>10</v>
      </c>
      <c r="N256" s="5">
        <v>76.5</v>
      </c>
      <c r="O256" s="5">
        <v>133872</v>
      </c>
      <c r="P256" s="5" t="s">
        <v>48</v>
      </c>
      <c r="Q256" s="5">
        <v>2</v>
      </c>
      <c r="R256" s="5">
        <v>6</v>
      </c>
      <c r="S256" s="5">
        <v>900</v>
      </c>
      <c r="T256" s="5">
        <v>660</v>
      </c>
      <c r="U256" s="5">
        <v>860</v>
      </c>
      <c r="V256" s="5">
        <f t="shared" si="15"/>
        <v>9.8999999999999986</v>
      </c>
      <c r="W256" s="5" t="s">
        <v>10</v>
      </c>
      <c r="X256" s="5">
        <v>60</v>
      </c>
      <c r="Y256" s="5">
        <v>917.4</v>
      </c>
      <c r="Z256" s="5">
        <v>79.099999999999994</v>
      </c>
      <c r="AA256" s="5" t="s">
        <v>68</v>
      </c>
      <c r="AB256" s="5"/>
      <c r="AC256" s="5"/>
      <c r="AD256" s="5"/>
      <c r="AE256" s="5"/>
      <c r="AF256" s="5" t="s">
        <v>68</v>
      </c>
      <c r="AG256" s="5"/>
      <c r="AH256" s="12">
        <v>16384</v>
      </c>
      <c r="AI256" s="12"/>
      <c r="AJ256" s="12"/>
      <c r="AK256" s="12"/>
      <c r="AL256" s="12"/>
      <c r="AM256" s="12">
        <f t="shared" si="13"/>
        <v>16384</v>
      </c>
      <c r="AN256" s="12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</row>
    <row r="257" spans="1:240" s="2" customFormat="1" ht="30" customHeight="1">
      <c r="A257" s="5">
        <v>255</v>
      </c>
      <c r="B257" s="5" t="s">
        <v>68</v>
      </c>
      <c r="C257" s="5"/>
      <c r="D257" s="5"/>
      <c r="E257" s="5">
        <v>6755</v>
      </c>
      <c r="F257" s="5">
        <v>2249</v>
      </c>
      <c r="G257" s="5">
        <v>1289</v>
      </c>
      <c r="H257" s="5">
        <v>1070</v>
      </c>
      <c r="I257" s="5" t="s">
        <v>13</v>
      </c>
      <c r="J257" s="34">
        <v>71.096782903554114</v>
      </c>
      <c r="K257" s="10">
        <v>5</v>
      </c>
      <c r="L257" s="11">
        <v>410</v>
      </c>
      <c r="M257" s="31">
        <v>10</v>
      </c>
      <c r="N257" s="5">
        <v>55.3</v>
      </c>
      <c r="O257" s="5">
        <v>129101</v>
      </c>
      <c r="P257" s="5" t="s">
        <v>48</v>
      </c>
      <c r="Q257" s="5">
        <v>2</v>
      </c>
      <c r="R257" s="5">
        <v>6</v>
      </c>
      <c r="S257" s="5">
        <v>900</v>
      </c>
      <c r="T257" s="5">
        <v>660</v>
      </c>
      <c r="U257" s="5">
        <v>860</v>
      </c>
      <c r="V257" s="5">
        <f t="shared" si="15"/>
        <v>9.8999999999999986</v>
      </c>
      <c r="W257" s="5" t="s">
        <v>10</v>
      </c>
      <c r="X257" s="5">
        <v>60</v>
      </c>
      <c r="Y257" s="5">
        <v>1376.1</v>
      </c>
      <c r="Z257" s="5">
        <v>118.6</v>
      </c>
      <c r="AA257" s="5" t="s">
        <v>68</v>
      </c>
      <c r="AB257" s="5"/>
      <c r="AC257" s="5"/>
      <c r="AD257" s="5"/>
      <c r="AE257" s="5"/>
      <c r="AF257" s="5" t="s">
        <v>68</v>
      </c>
      <c r="AG257" s="5"/>
      <c r="AH257" s="12">
        <v>19334</v>
      </c>
      <c r="AI257" s="12"/>
      <c r="AJ257" s="12"/>
      <c r="AK257" s="12"/>
      <c r="AL257" s="12"/>
      <c r="AM257" s="12">
        <f t="shared" si="13"/>
        <v>19334</v>
      </c>
      <c r="AN257" s="12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</row>
    <row r="258" spans="1:240" s="2" customFormat="1" ht="30" customHeight="1">
      <c r="A258" s="5">
        <v>256</v>
      </c>
      <c r="B258" s="5" t="s">
        <v>68</v>
      </c>
      <c r="C258" s="5"/>
      <c r="D258" s="5"/>
      <c r="E258" s="5">
        <v>6755</v>
      </c>
      <c r="F258" s="5">
        <v>2249</v>
      </c>
      <c r="G258" s="5">
        <v>1289</v>
      </c>
      <c r="H258" s="5">
        <v>1163</v>
      </c>
      <c r="I258" s="5" t="s">
        <v>13</v>
      </c>
      <c r="J258" s="34">
        <v>79.40296802814008</v>
      </c>
      <c r="K258" s="10">
        <v>5</v>
      </c>
      <c r="L258" s="11">
        <v>457.9</v>
      </c>
      <c r="M258" s="31">
        <v>10</v>
      </c>
      <c r="N258" s="5">
        <v>40.5</v>
      </c>
      <c r="O258" s="5">
        <v>124348</v>
      </c>
      <c r="P258" s="5" t="s">
        <v>48</v>
      </c>
      <c r="Q258" s="5">
        <v>2</v>
      </c>
      <c r="R258" s="5">
        <v>6</v>
      </c>
      <c r="S258" s="5">
        <v>900</v>
      </c>
      <c r="T258" s="5">
        <v>660</v>
      </c>
      <c r="U258" s="5">
        <v>860</v>
      </c>
      <c r="V258" s="5">
        <f t="shared" si="15"/>
        <v>9.8999999999999986</v>
      </c>
      <c r="W258" s="5" t="s">
        <v>10</v>
      </c>
      <c r="X258" s="5">
        <v>60</v>
      </c>
      <c r="Y258" s="5">
        <v>1834.8</v>
      </c>
      <c r="Z258" s="5">
        <v>158.1</v>
      </c>
      <c r="AA258" s="5" t="s">
        <v>68</v>
      </c>
      <c r="AB258" s="5"/>
      <c r="AC258" s="5"/>
      <c r="AD258" s="5"/>
      <c r="AE258" s="5"/>
      <c r="AF258" s="5" t="s">
        <v>68</v>
      </c>
      <c r="AG258" s="5"/>
      <c r="AH258" s="12">
        <v>22334</v>
      </c>
      <c r="AI258" s="12"/>
      <c r="AJ258" s="12"/>
      <c r="AK258" s="12"/>
      <c r="AL258" s="12"/>
      <c r="AM258" s="12">
        <f t="shared" si="13"/>
        <v>22334</v>
      </c>
      <c r="AN258" s="12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</row>
    <row r="259" spans="1:240" s="2" customFormat="1" ht="30" customHeight="1">
      <c r="A259" s="5">
        <v>257</v>
      </c>
      <c r="B259" s="5" t="s">
        <v>68</v>
      </c>
      <c r="C259" s="5"/>
      <c r="D259" s="5"/>
      <c r="E259" s="5">
        <v>6755</v>
      </c>
      <c r="F259" s="5">
        <v>2249</v>
      </c>
      <c r="G259" s="5">
        <v>1289</v>
      </c>
      <c r="H259" s="5">
        <v>1249</v>
      </c>
      <c r="I259" s="5" t="s">
        <v>13</v>
      </c>
      <c r="J259" s="34">
        <v>85.090710660424421</v>
      </c>
      <c r="K259" s="10">
        <v>5</v>
      </c>
      <c r="L259" s="11">
        <v>490.7</v>
      </c>
      <c r="M259" s="31">
        <v>10</v>
      </c>
      <c r="N259" s="5">
        <v>92.6</v>
      </c>
      <c r="O259" s="5">
        <v>119776</v>
      </c>
      <c r="P259" s="5" t="s">
        <v>48</v>
      </c>
      <c r="Q259" s="5">
        <v>2</v>
      </c>
      <c r="R259" s="5">
        <v>6</v>
      </c>
      <c r="S259" s="5">
        <v>900</v>
      </c>
      <c r="T259" s="5">
        <v>660</v>
      </c>
      <c r="U259" s="5">
        <v>860</v>
      </c>
      <c r="V259" s="5">
        <f t="shared" si="15"/>
        <v>9.8999999999999986</v>
      </c>
      <c r="W259" s="5" t="s">
        <v>10</v>
      </c>
      <c r="X259" s="5">
        <v>60</v>
      </c>
      <c r="Y259" s="5">
        <v>2293.5</v>
      </c>
      <c r="Z259" s="5">
        <v>197.6</v>
      </c>
      <c r="AA259" s="5" t="s">
        <v>68</v>
      </c>
      <c r="AB259" s="5"/>
      <c r="AC259" s="5"/>
      <c r="AD259" s="5"/>
      <c r="AE259" s="5"/>
      <c r="AF259" s="5" t="s">
        <v>68</v>
      </c>
      <c r="AG259" s="5"/>
      <c r="AH259" s="12" t="s">
        <v>48</v>
      </c>
      <c r="AI259" s="12"/>
      <c r="AJ259" s="12"/>
      <c r="AK259" s="12"/>
      <c r="AL259" s="12"/>
      <c r="AM259" s="12" t="str">
        <f t="shared" si="13"/>
        <v>_</v>
      </c>
      <c r="AN259" s="12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</row>
    <row r="260" spans="1:240" s="2" customFormat="1" ht="30" customHeight="1">
      <c r="A260" s="5">
        <v>258</v>
      </c>
      <c r="B260" s="5" t="s">
        <v>68</v>
      </c>
      <c r="C260" s="5"/>
      <c r="D260" s="5"/>
      <c r="E260" s="5">
        <v>8855</v>
      </c>
      <c r="F260" s="5">
        <v>2249</v>
      </c>
      <c r="G260" s="5">
        <v>1289</v>
      </c>
      <c r="H260" s="5">
        <v>1300</v>
      </c>
      <c r="I260" s="5" t="s">
        <v>13</v>
      </c>
      <c r="J260" s="34">
        <v>73.853950825911468</v>
      </c>
      <c r="K260" s="10">
        <v>5</v>
      </c>
      <c r="L260" s="11">
        <v>425.9</v>
      </c>
      <c r="M260" s="31">
        <v>10</v>
      </c>
      <c r="N260" s="5">
        <v>23.1</v>
      </c>
      <c r="O260" s="5">
        <v>178455</v>
      </c>
      <c r="P260" s="5" t="s">
        <v>48</v>
      </c>
      <c r="Q260" s="5">
        <v>2</v>
      </c>
      <c r="R260" s="5">
        <v>8</v>
      </c>
      <c r="S260" s="5">
        <v>900</v>
      </c>
      <c r="T260" s="5">
        <v>660</v>
      </c>
      <c r="U260" s="5">
        <v>860</v>
      </c>
      <c r="V260" s="5">
        <f t="shared" si="15"/>
        <v>13.2</v>
      </c>
      <c r="W260" s="5" t="s">
        <v>10</v>
      </c>
      <c r="X260" s="5">
        <v>61</v>
      </c>
      <c r="Y260" s="5">
        <v>1220.8</v>
      </c>
      <c r="Z260" s="5">
        <v>105.2</v>
      </c>
      <c r="AA260" s="5" t="s">
        <v>68</v>
      </c>
      <c r="AB260" s="5"/>
      <c r="AC260" s="5"/>
      <c r="AD260" s="5"/>
      <c r="AE260" s="5"/>
      <c r="AF260" s="5" t="s">
        <v>68</v>
      </c>
      <c r="AG260" s="5"/>
      <c r="AH260" s="12">
        <v>19175</v>
      </c>
      <c r="AI260" s="12"/>
      <c r="AJ260" s="12"/>
      <c r="AK260" s="12"/>
      <c r="AL260" s="12"/>
      <c r="AM260" s="12">
        <f t="shared" si="13"/>
        <v>19175</v>
      </c>
      <c r="AN260" s="12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</row>
    <row r="261" spans="1:240" s="2" customFormat="1" ht="30" customHeight="1">
      <c r="A261" s="5">
        <v>259</v>
      </c>
      <c r="B261" s="5" t="s">
        <v>68</v>
      </c>
      <c r="C261" s="5"/>
      <c r="D261" s="5"/>
      <c r="E261" s="5">
        <v>8855</v>
      </c>
      <c r="F261" s="5">
        <v>2249</v>
      </c>
      <c r="G261" s="5">
        <v>1289</v>
      </c>
      <c r="H261" s="5">
        <v>1438</v>
      </c>
      <c r="I261" s="5" t="s">
        <v>13</v>
      </c>
      <c r="J261" s="34">
        <v>92.148366914508941</v>
      </c>
      <c r="K261" s="10">
        <v>5</v>
      </c>
      <c r="L261" s="11">
        <v>531.4</v>
      </c>
      <c r="M261" s="31">
        <v>10</v>
      </c>
      <c r="N261" s="5">
        <v>16.7</v>
      </c>
      <c r="O261" s="5">
        <v>172071</v>
      </c>
      <c r="P261" s="5" t="s">
        <v>48</v>
      </c>
      <c r="Q261" s="5">
        <v>2</v>
      </c>
      <c r="R261" s="5">
        <v>8</v>
      </c>
      <c r="S261" s="5">
        <v>900</v>
      </c>
      <c r="T261" s="5">
        <v>660</v>
      </c>
      <c r="U261" s="5">
        <v>860</v>
      </c>
      <c r="V261" s="5">
        <f t="shared" si="15"/>
        <v>13.2</v>
      </c>
      <c r="W261" s="5" t="s">
        <v>10</v>
      </c>
      <c r="X261" s="5">
        <v>61</v>
      </c>
      <c r="Y261" s="5">
        <v>1831.1</v>
      </c>
      <c r="Z261" s="5">
        <v>157.80000000000001</v>
      </c>
      <c r="AA261" s="5" t="s">
        <v>68</v>
      </c>
      <c r="AB261" s="5"/>
      <c r="AC261" s="5"/>
      <c r="AD261" s="5"/>
      <c r="AE261" s="5"/>
      <c r="AF261" s="5" t="s">
        <v>68</v>
      </c>
      <c r="AG261" s="5"/>
      <c r="AH261" s="12">
        <v>24625</v>
      </c>
      <c r="AI261" s="12"/>
      <c r="AJ261" s="12"/>
      <c r="AK261" s="12"/>
      <c r="AL261" s="12"/>
      <c r="AM261" s="12">
        <f t="shared" si="13"/>
        <v>24625</v>
      </c>
      <c r="AN261" s="12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</row>
    <row r="262" spans="1:240" s="2" customFormat="1" ht="30" customHeight="1">
      <c r="A262" s="5">
        <v>260</v>
      </c>
      <c r="B262" s="5" t="s">
        <v>68</v>
      </c>
      <c r="C262" s="5"/>
      <c r="D262" s="5"/>
      <c r="E262" s="5">
        <v>8855</v>
      </c>
      <c r="F262" s="5">
        <v>2249</v>
      </c>
      <c r="G262" s="5">
        <v>1289</v>
      </c>
      <c r="H262" s="5">
        <v>1530</v>
      </c>
      <c r="I262" s="5" t="s">
        <v>13</v>
      </c>
      <c r="J262" s="34">
        <v>106.99198793047049</v>
      </c>
      <c r="K262" s="10">
        <v>5</v>
      </c>
      <c r="L262" s="11">
        <v>617</v>
      </c>
      <c r="M262" s="31">
        <v>10</v>
      </c>
      <c r="N262" s="5">
        <v>89.8</v>
      </c>
      <c r="O262" s="5">
        <v>165714</v>
      </c>
      <c r="P262" s="5" t="s">
        <v>48</v>
      </c>
      <c r="Q262" s="5">
        <v>2</v>
      </c>
      <c r="R262" s="5">
        <v>8</v>
      </c>
      <c r="S262" s="5">
        <v>900</v>
      </c>
      <c r="T262" s="5">
        <v>660</v>
      </c>
      <c r="U262" s="5">
        <v>860</v>
      </c>
      <c r="V262" s="5">
        <f t="shared" si="15"/>
        <v>13.2</v>
      </c>
      <c r="W262" s="5" t="s">
        <v>10</v>
      </c>
      <c r="X262" s="5">
        <v>61</v>
      </c>
      <c r="Y262" s="5">
        <v>2441.5</v>
      </c>
      <c r="Z262" s="5">
        <v>210.3</v>
      </c>
      <c r="AA262" s="5" t="s">
        <v>68</v>
      </c>
      <c r="AB262" s="5"/>
      <c r="AC262" s="5"/>
      <c r="AD262" s="5"/>
      <c r="AE262" s="5"/>
      <c r="AF262" s="5" t="s">
        <v>68</v>
      </c>
      <c r="AG262" s="5"/>
      <c r="AH262" s="12">
        <v>30125</v>
      </c>
      <c r="AI262" s="12"/>
      <c r="AJ262" s="12"/>
      <c r="AK262" s="12"/>
      <c r="AL262" s="12"/>
      <c r="AM262" s="12">
        <f t="shared" si="13"/>
        <v>30125</v>
      </c>
      <c r="AN262" s="12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</row>
    <row r="263" spans="1:240" s="2" customFormat="1" ht="30" customHeight="1">
      <c r="A263" s="5">
        <v>261</v>
      </c>
      <c r="B263" s="5" t="s">
        <v>68</v>
      </c>
      <c r="C263" s="5"/>
      <c r="D263" s="5"/>
      <c r="E263" s="5">
        <v>8855</v>
      </c>
      <c r="F263" s="5">
        <v>2249</v>
      </c>
      <c r="G263" s="5">
        <v>1289</v>
      </c>
      <c r="H263" s="5">
        <v>1643</v>
      </c>
      <c r="I263" s="5" t="s">
        <v>13</v>
      </c>
      <c r="J263" s="34">
        <v>112.92250006535232</v>
      </c>
      <c r="K263" s="10">
        <v>5</v>
      </c>
      <c r="L263" s="11">
        <v>651.20000000000005</v>
      </c>
      <c r="M263" s="31">
        <v>10</v>
      </c>
      <c r="N263" s="5">
        <v>66.7</v>
      </c>
      <c r="O263" s="5">
        <v>159603</v>
      </c>
      <c r="P263" s="5" t="s">
        <v>48</v>
      </c>
      <c r="Q263" s="5">
        <v>2</v>
      </c>
      <c r="R263" s="5">
        <v>8</v>
      </c>
      <c r="S263" s="5">
        <v>900</v>
      </c>
      <c r="T263" s="5">
        <v>660</v>
      </c>
      <c r="U263" s="5">
        <v>860</v>
      </c>
      <c r="V263" s="5">
        <f t="shared" si="15"/>
        <v>13.2</v>
      </c>
      <c r="W263" s="5" t="s">
        <v>10</v>
      </c>
      <c r="X263" s="5">
        <v>61</v>
      </c>
      <c r="Y263" s="5">
        <v>3051.9</v>
      </c>
      <c r="Z263" s="5">
        <v>262.89999999999998</v>
      </c>
      <c r="AA263" s="5" t="s">
        <v>68</v>
      </c>
      <c r="AB263" s="5"/>
      <c r="AC263" s="5"/>
      <c r="AD263" s="5"/>
      <c r="AE263" s="5"/>
      <c r="AF263" s="5" t="s">
        <v>68</v>
      </c>
      <c r="AG263" s="5"/>
      <c r="AH263" s="12" t="s">
        <v>48</v>
      </c>
      <c r="AI263" s="12"/>
      <c r="AJ263" s="12"/>
      <c r="AK263" s="12"/>
      <c r="AL263" s="12"/>
      <c r="AM263" s="12" t="str">
        <f t="shared" si="13"/>
        <v>_</v>
      </c>
      <c r="AN263" s="12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</row>
    <row r="264" spans="1:240" s="2" customFormat="1" ht="30" customHeight="1">
      <c r="A264" s="5">
        <v>262</v>
      </c>
      <c r="B264" s="5" t="s">
        <v>68</v>
      </c>
      <c r="C264" s="5"/>
      <c r="D264" s="5"/>
      <c r="E264" s="5">
        <v>10955</v>
      </c>
      <c r="F264" s="5">
        <v>2249</v>
      </c>
      <c r="G264" s="5">
        <v>1289</v>
      </c>
      <c r="H264" s="5">
        <v>1625</v>
      </c>
      <c r="I264" s="5" t="s">
        <v>13</v>
      </c>
      <c r="J264" s="34">
        <v>93.813072075177516</v>
      </c>
      <c r="K264" s="10">
        <v>5</v>
      </c>
      <c r="L264" s="11">
        <v>541</v>
      </c>
      <c r="M264" s="31">
        <v>10</v>
      </c>
      <c r="N264" s="5">
        <v>44</v>
      </c>
      <c r="O264" s="5">
        <v>223037</v>
      </c>
      <c r="P264" s="5" t="s">
        <v>48</v>
      </c>
      <c r="Q264" s="5">
        <v>2</v>
      </c>
      <c r="R264" s="5">
        <v>10</v>
      </c>
      <c r="S264" s="5">
        <v>900</v>
      </c>
      <c r="T264" s="5">
        <v>660</v>
      </c>
      <c r="U264" s="5">
        <v>860</v>
      </c>
      <c r="V264" s="5">
        <f t="shared" si="15"/>
        <v>16.5</v>
      </c>
      <c r="W264" s="5" t="s">
        <v>10</v>
      </c>
      <c r="X264" s="5">
        <v>62</v>
      </c>
      <c r="Y264" s="5">
        <v>1524.2</v>
      </c>
      <c r="Z264" s="5">
        <v>131.30000000000001</v>
      </c>
      <c r="AA264" s="5" t="s">
        <v>68</v>
      </c>
      <c r="AB264" s="5"/>
      <c r="AC264" s="5"/>
      <c r="AD264" s="5"/>
      <c r="AE264" s="5"/>
      <c r="AF264" s="5" t="s">
        <v>68</v>
      </c>
      <c r="AG264" s="5"/>
      <c r="AH264" s="12">
        <v>26636</v>
      </c>
      <c r="AI264" s="12"/>
      <c r="AJ264" s="12"/>
      <c r="AK264" s="12"/>
      <c r="AL264" s="12"/>
      <c r="AM264" s="12">
        <f t="shared" si="13"/>
        <v>26636</v>
      </c>
      <c r="AN264" s="12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</row>
    <row r="265" spans="1:240" s="2" customFormat="1" ht="30" customHeight="1">
      <c r="A265" s="5">
        <v>263</v>
      </c>
      <c r="B265" s="5" t="s">
        <v>68</v>
      </c>
      <c r="C265" s="5"/>
      <c r="D265" s="5"/>
      <c r="E265" s="5">
        <v>10955</v>
      </c>
      <c r="F265" s="5">
        <v>2249</v>
      </c>
      <c r="G265" s="5">
        <v>1289</v>
      </c>
      <c r="H265" s="5">
        <v>1890</v>
      </c>
      <c r="I265" s="5" t="s">
        <v>13</v>
      </c>
      <c r="J265" s="34">
        <v>117.01490025199591</v>
      </c>
      <c r="K265" s="10">
        <v>5</v>
      </c>
      <c r="L265" s="11">
        <v>674.8</v>
      </c>
      <c r="M265" s="31">
        <v>10</v>
      </c>
      <c r="N265" s="5">
        <v>31.9</v>
      </c>
      <c r="O265" s="5">
        <v>215040</v>
      </c>
      <c r="P265" s="5" t="s">
        <v>48</v>
      </c>
      <c r="Q265" s="5">
        <v>2</v>
      </c>
      <c r="R265" s="5">
        <v>10</v>
      </c>
      <c r="S265" s="5">
        <v>900</v>
      </c>
      <c r="T265" s="5">
        <v>660</v>
      </c>
      <c r="U265" s="5">
        <v>860</v>
      </c>
      <c r="V265" s="5">
        <f t="shared" si="15"/>
        <v>16.5</v>
      </c>
      <c r="W265" s="5" t="s">
        <v>10</v>
      </c>
      <c r="X265" s="5">
        <v>62</v>
      </c>
      <c r="Y265" s="5">
        <v>2286.1999999999998</v>
      </c>
      <c r="Z265" s="5">
        <v>197</v>
      </c>
      <c r="AA265" s="5" t="s">
        <v>68</v>
      </c>
      <c r="AB265" s="5"/>
      <c r="AC265" s="5"/>
      <c r="AD265" s="5"/>
      <c r="AE265" s="5"/>
      <c r="AF265" s="5" t="s">
        <v>68</v>
      </c>
      <c r="AG265" s="5"/>
      <c r="AH265" s="12">
        <v>32086</v>
      </c>
      <c r="AI265" s="12"/>
      <c r="AJ265" s="12"/>
      <c r="AK265" s="12"/>
      <c r="AL265" s="12"/>
      <c r="AM265" s="12">
        <f t="shared" si="13"/>
        <v>32086</v>
      </c>
      <c r="AN265" s="12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</row>
    <row r="266" spans="1:240" s="2" customFormat="1" ht="30" customHeight="1">
      <c r="A266" s="5">
        <v>264</v>
      </c>
      <c r="B266" s="5" t="s">
        <v>68</v>
      </c>
      <c r="C266" s="5"/>
      <c r="D266" s="5"/>
      <c r="E266" s="5">
        <v>10955</v>
      </c>
      <c r="F266" s="5">
        <v>2249</v>
      </c>
      <c r="G266" s="5">
        <v>1289</v>
      </c>
      <c r="H266" s="5">
        <v>2080</v>
      </c>
      <c r="I266" s="5" t="s">
        <v>13</v>
      </c>
      <c r="J266" s="34">
        <v>130.76605850626871</v>
      </c>
      <c r="K266" s="10">
        <v>5</v>
      </c>
      <c r="L266" s="11">
        <v>754.1</v>
      </c>
      <c r="M266" s="31">
        <v>10</v>
      </c>
      <c r="N266" s="5">
        <v>23.3</v>
      </c>
      <c r="O266" s="5">
        <v>207080</v>
      </c>
      <c r="P266" s="5" t="s">
        <v>48</v>
      </c>
      <c r="Q266" s="5">
        <v>2</v>
      </c>
      <c r="R266" s="5">
        <v>10</v>
      </c>
      <c r="S266" s="5">
        <v>900</v>
      </c>
      <c r="T266" s="5">
        <v>660</v>
      </c>
      <c r="U266" s="5">
        <v>860</v>
      </c>
      <c r="V266" s="5">
        <f t="shared" si="15"/>
        <v>16.5</v>
      </c>
      <c r="W266" s="5" t="s">
        <v>10</v>
      </c>
      <c r="X266" s="5">
        <v>62</v>
      </c>
      <c r="Y266" s="5">
        <v>3048.3</v>
      </c>
      <c r="Z266" s="5">
        <v>262.60000000000002</v>
      </c>
      <c r="AA266" s="5" t="s">
        <v>68</v>
      </c>
      <c r="AB266" s="5"/>
      <c r="AC266" s="5"/>
      <c r="AD266" s="5"/>
      <c r="AE266" s="5"/>
      <c r="AF266" s="5" t="s">
        <v>68</v>
      </c>
      <c r="AG266" s="5"/>
      <c r="AH266" s="12">
        <v>37586</v>
      </c>
      <c r="AI266" s="12"/>
      <c r="AJ266" s="12"/>
      <c r="AK266" s="12"/>
      <c r="AL266" s="12"/>
      <c r="AM266" s="12">
        <f t="shared" si="13"/>
        <v>37586</v>
      </c>
      <c r="AN266" s="12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</row>
    <row r="267" spans="1:240" s="2" customFormat="1" ht="30" customHeight="1">
      <c r="A267" s="5">
        <v>265</v>
      </c>
      <c r="B267" s="5" t="s">
        <v>68</v>
      </c>
      <c r="C267" s="5"/>
      <c r="D267" s="5"/>
      <c r="E267" s="5">
        <v>10955</v>
      </c>
      <c r="F267" s="5">
        <v>2249</v>
      </c>
      <c r="G267" s="5">
        <v>1289</v>
      </c>
      <c r="H267" s="5">
        <v>2234</v>
      </c>
      <c r="I267" s="5" t="s">
        <v>13</v>
      </c>
      <c r="J267" s="34">
        <v>138.25723172927735</v>
      </c>
      <c r="K267" s="10">
        <v>5</v>
      </c>
      <c r="L267" s="11">
        <v>797.3</v>
      </c>
      <c r="M267" s="31">
        <v>10</v>
      </c>
      <c r="N267" s="5">
        <v>17.2</v>
      </c>
      <c r="O267" s="5">
        <v>199429</v>
      </c>
      <c r="P267" s="5" t="s">
        <v>48</v>
      </c>
      <c r="Q267" s="5">
        <v>2</v>
      </c>
      <c r="R267" s="5">
        <v>10</v>
      </c>
      <c r="S267" s="5">
        <v>900</v>
      </c>
      <c r="T267" s="5">
        <v>660</v>
      </c>
      <c r="U267" s="5">
        <v>860</v>
      </c>
      <c r="V267" s="5">
        <f t="shared" si="15"/>
        <v>16.5</v>
      </c>
      <c r="W267" s="5" t="s">
        <v>10</v>
      </c>
      <c r="X267" s="5">
        <v>62</v>
      </c>
      <c r="Y267" s="5">
        <v>3810.4</v>
      </c>
      <c r="Z267" s="5">
        <v>328.2</v>
      </c>
      <c r="AA267" s="5" t="s">
        <v>68</v>
      </c>
      <c r="AB267" s="5"/>
      <c r="AC267" s="5"/>
      <c r="AD267" s="5"/>
      <c r="AE267" s="5"/>
      <c r="AF267" s="5" t="s">
        <v>68</v>
      </c>
      <c r="AG267" s="5"/>
      <c r="AH267" s="12" t="s">
        <v>48</v>
      </c>
      <c r="AI267" s="12"/>
      <c r="AJ267" s="12"/>
      <c r="AK267" s="12"/>
      <c r="AL267" s="12"/>
      <c r="AM267" s="12" t="str">
        <f t="shared" si="13"/>
        <v>_</v>
      </c>
      <c r="AN267" s="12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</row>
    <row r="268" spans="1:240" s="2" customFormat="1" ht="30" customHeight="1">
      <c r="A268" s="5">
        <v>266</v>
      </c>
      <c r="B268" s="5" t="s">
        <v>68</v>
      </c>
      <c r="C268" s="5"/>
      <c r="D268" s="5"/>
      <c r="E268" s="5">
        <v>4655</v>
      </c>
      <c r="F268" s="5">
        <v>2249</v>
      </c>
      <c r="G268" s="5">
        <v>1278</v>
      </c>
      <c r="H268" s="5">
        <v>951</v>
      </c>
      <c r="I268" s="5" t="s">
        <v>13</v>
      </c>
      <c r="J268" s="34">
        <v>32.305684524224716</v>
      </c>
      <c r="K268" s="10">
        <v>5</v>
      </c>
      <c r="L268" s="11">
        <v>186.3</v>
      </c>
      <c r="M268" s="31">
        <v>10</v>
      </c>
      <c r="N268" s="5">
        <v>56.01</v>
      </c>
      <c r="O268" s="5">
        <v>67468</v>
      </c>
      <c r="P268" s="5" t="s">
        <v>48</v>
      </c>
      <c r="Q268" s="5">
        <v>2</v>
      </c>
      <c r="R268" s="5">
        <v>4</v>
      </c>
      <c r="S268" s="5">
        <v>1000</v>
      </c>
      <c r="T268" s="5">
        <v>250</v>
      </c>
      <c r="U268" s="5">
        <v>380</v>
      </c>
      <c r="V268" s="5">
        <f t="shared" ref="V268:V275" si="16">0.67*R268</f>
        <v>2.68</v>
      </c>
      <c r="W268" s="5" t="s">
        <v>10</v>
      </c>
      <c r="X268" s="5">
        <v>43</v>
      </c>
      <c r="Y268" s="5">
        <v>614</v>
      </c>
      <c r="Z268" s="5">
        <v>52.9</v>
      </c>
      <c r="AA268" s="5" t="s">
        <v>68</v>
      </c>
      <c r="AB268" s="5"/>
      <c r="AC268" s="5"/>
      <c r="AD268" s="5"/>
      <c r="AE268" s="5"/>
      <c r="AF268" s="5" t="s">
        <v>68</v>
      </c>
      <c r="AG268" s="5"/>
      <c r="AH268" s="12">
        <v>12794</v>
      </c>
      <c r="AI268" s="12"/>
      <c r="AJ268" s="12"/>
      <c r="AK268" s="12"/>
      <c r="AL268" s="12"/>
      <c r="AM268" s="12">
        <f t="shared" si="13"/>
        <v>12794</v>
      </c>
      <c r="AN268" s="12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</row>
    <row r="269" spans="1:240" s="2" customFormat="1" ht="30" customHeight="1">
      <c r="A269" s="5">
        <v>267</v>
      </c>
      <c r="B269" s="5" t="s">
        <v>68</v>
      </c>
      <c r="C269" s="5"/>
      <c r="D269" s="5"/>
      <c r="E269" s="5">
        <v>4655</v>
      </c>
      <c r="F269" s="5">
        <v>2249</v>
      </c>
      <c r="G269" s="5">
        <v>1278</v>
      </c>
      <c r="H269" s="5">
        <v>870</v>
      </c>
      <c r="I269" s="5" t="s">
        <v>13</v>
      </c>
      <c r="J269" s="34">
        <v>38.132152586564764</v>
      </c>
      <c r="K269" s="10">
        <v>5</v>
      </c>
      <c r="L269" s="11">
        <v>219.9</v>
      </c>
      <c r="M269" s="31">
        <v>10</v>
      </c>
      <c r="N269" s="5">
        <v>86.23</v>
      </c>
      <c r="O269" s="5">
        <v>61296</v>
      </c>
      <c r="P269" s="5" t="s">
        <v>48</v>
      </c>
      <c r="Q269" s="5">
        <v>2</v>
      </c>
      <c r="R269" s="5">
        <v>4</v>
      </c>
      <c r="S269" s="5">
        <v>1000</v>
      </c>
      <c r="T269" s="5">
        <v>250</v>
      </c>
      <c r="U269" s="5">
        <v>380</v>
      </c>
      <c r="V269" s="5">
        <f t="shared" si="16"/>
        <v>2.68</v>
      </c>
      <c r="W269" s="5" t="s">
        <v>10</v>
      </c>
      <c r="X269" s="5">
        <v>43</v>
      </c>
      <c r="Y269" s="5">
        <v>921</v>
      </c>
      <c r="Z269" s="5">
        <v>79.400000000000006</v>
      </c>
      <c r="AA269" s="5" t="s">
        <v>68</v>
      </c>
      <c r="AB269" s="5"/>
      <c r="AC269" s="5"/>
      <c r="AD269" s="5"/>
      <c r="AE269" s="5"/>
      <c r="AF269" s="5" t="s">
        <v>68</v>
      </c>
      <c r="AG269" s="5"/>
      <c r="AH269" s="12">
        <v>14794</v>
      </c>
      <c r="AI269" s="12"/>
      <c r="AJ269" s="12"/>
      <c r="AK269" s="12"/>
      <c r="AL269" s="12"/>
      <c r="AM269" s="12">
        <f t="shared" si="13"/>
        <v>14794</v>
      </c>
      <c r="AN269" s="12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</row>
    <row r="270" spans="1:240" s="2" customFormat="1" ht="30" customHeight="1">
      <c r="A270" s="5">
        <v>268</v>
      </c>
      <c r="B270" s="5" t="s">
        <v>68</v>
      </c>
      <c r="C270" s="5"/>
      <c r="D270" s="5"/>
      <c r="E270" s="5">
        <v>6755</v>
      </c>
      <c r="F270" s="5">
        <v>2249</v>
      </c>
      <c r="G270" s="5">
        <v>1278</v>
      </c>
      <c r="H270" s="5">
        <v>1050</v>
      </c>
      <c r="I270" s="5" t="s">
        <v>13</v>
      </c>
      <c r="J270" s="34">
        <v>48.380493731930741</v>
      </c>
      <c r="K270" s="10">
        <v>5</v>
      </c>
      <c r="L270" s="11">
        <v>279</v>
      </c>
      <c r="M270" s="31">
        <v>10</v>
      </c>
      <c r="N270" s="5">
        <v>57.12</v>
      </c>
      <c r="O270" s="5">
        <v>101081</v>
      </c>
      <c r="P270" s="5" t="s">
        <v>48</v>
      </c>
      <c r="Q270" s="5">
        <v>2</v>
      </c>
      <c r="R270" s="5">
        <v>6</v>
      </c>
      <c r="S270" s="5">
        <v>1000</v>
      </c>
      <c r="T270" s="5">
        <v>250</v>
      </c>
      <c r="U270" s="5">
        <v>380</v>
      </c>
      <c r="V270" s="5">
        <f t="shared" si="16"/>
        <v>4.0200000000000005</v>
      </c>
      <c r="W270" s="5" t="s">
        <v>10</v>
      </c>
      <c r="X270" s="5">
        <v>45</v>
      </c>
      <c r="Y270" s="5">
        <v>917.4</v>
      </c>
      <c r="Z270" s="5">
        <v>79.099999999999994</v>
      </c>
      <c r="AA270" s="5" t="s">
        <v>68</v>
      </c>
      <c r="AB270" s="5"/>
      <c r="AC270" s="5"/>
      <c r="AD270" s="5"/>
      <c r="AE270" s="5"/>
      <c r="AF270" s="5" t="s">
        <v>68</v>
      </c>
      <c r="AG270" s="5"/>
      <c r="AH270" s="12">
        <v>17297</v>
      </c>
      <c r="AI270" s="12"/>
      <c r="AJ270" s="12"/>
      <c r="AK270" s="12"/>
      <c r="AL270" s="12"/>
      <c r="AM270" s="12">
        <f t="shared" si="13"/>
        <v>17297</v>
      </c>
      <c r="AN270" s="12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</row>
    <row r="271" spans="1:240" s="2" customFormat="1" ht="30" customHeight="1">
      <c r="A271" s="5">
        <v>269</v>
      </c>
      <c r="B271" s="5" t="s">
        <v>68</v>
      </c>
      <c r="C271" s="5"/>
      <c r="D271" s="5"/>
      <c r="E271" s="5">
        <v>6755</v>
      </c>
      <c r="F271" s="5">
        <v>2249</v>
      </c>
      <c r="G271" s="5">
        <v>1278</v>
      </c>
      <c r="H271" s="5">
        <v>1070</v>
      </c>
      <c r="I271" s="5" t="s">
        <v>13</v>
      </c>
      <c r="J271" s="34">
        <v>56.305183923863481</v>
      </c>
      <c r="K271" s="10">
        <v>5</v>
      </c>
      <c r="L271" s="11">
        <v>324.7</v>
      </c>
      <c r="M271" s="31">
        <v>10</v>
      </c>
      <c r="N271" s="5">
        <v>36.51</v>
      </c>
      <c r="O271" s="5">
        <v>91759</v>
      </c>
      <c r="P271" s="5" t="s">
        <v>48</v>
      </c>
      <c r="Q271" s="5">
        <v>2</v>
      </c>
      <c r="R271" s="5">
        <v>6</v>
      </c>
      <c r="S271" s="5">
        <v>1000</v>
      </c>
      <c r="T271" s="5">
        <v>250</v>
      </c>
      <c r="U271" s="5">
        <v>380</v>
      </c>
      <c r="V271" s="5">
        <f t="shared" si="16"/>
        <v>4.0200000000000005</v>
      </c>
      <c r="W271" s="5" t="s">
        <v>10</v>
      </c>
      <c r="X271" s="5">
        <v>45</v>
      </c>
      <c r="Y271" s="5">
        <v>1376.1</v>
      </c>
      <c r="Z271" s="5">
        <v>118.6</v>
      </c>
      <c r="AA271" s="5" t="s">
        <v>68</v>
      </c>
      <c r="AB271" s="5"/>
      <c r="AC271" s="5"/>
      <c r="AD271" s="5"/>
      <c r="AE271" s="5"/>
      <c r="AF271" s="5" t="s">
        <v>68</v>
      </c>
      <c r="AG271" s="5"/>
      <c r="AH271" s="12">
        <v>20247</v>
      </c>
      <c r="AI271" s="12"/>
      <c r="AJ271" s="12"/>
      <c r="AK271" s="12"/>
      <c r="AL271" s="12"/>
      <c r="AM271" s="12">
        <f t="shared" si="13"/>
        <v>20247</v>
      </c>
      <c r="AN271" s="12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</row>
    <row r="272" spans="1:240" s="2" customFormat="1" ht="30" customHeight="1">
      <c r="A272" s="5">
        <v>270</v>
      </c>
      <c r="B272" s="5" t="s">
        <v>68</v>
      </c>
      <c r="C272" s="5"/>
      <c r="D272" s="5"/>
      <c r="E272" s="5">
        <v>8855</v>
      </c>
      <c r="F272" s="5">
        <v>2249</v>
      </c>
      <c r="G272" s="5">
        <v>1278</v>
      </c>
      <c r="H272" s="5">
        <v>1300</v>
      </c>
      <c r="I272" s="5" t="s">
        <v>13</v>
      </c>
      <c r="J272" s="34">
        <v>62.669213027669414</v>
      </c>
      <c r="K272" s="10">
        <v>5</v>
      </c>
      <c r="L272" s="11">
        <v>361.4</v>
      </c>
      <c r="M272" s="31">
        <v>10</v>
      </c>
      <c r="N272" s="5">
        <v>17.309999999999999</v>
      </c>
      <c r="O272" s="5">
        <v>134692</v>
      </c>
      <c r="P272" s="5" t="s">
        <v>48</v>
      </c>
      <c r="Q272" s="5">
        <v>2</v>
      </c>
      <c r="R272" s="5">
        <v>8</v>
      </c>
      <c r="S272" s="5">
        <v>1000</v>
      </c>
      <c r="T272" s="5">
        <v>250</v>
      </c>
      <c r="U272" s="5">
        <v>380</v>
      </c>
      <c r="V272" s="5">
        <f t="shared" si="16"/>
        <v>5.36</v>
      </c>
      <c r="W272" s="5" t="s">
        <v>10</v>
      </c>
      <c r="X272" s="5">
        <v>46</v>
      </c>
      <c r="Y272" s="5">
        <v>1220.8</v>
      </c>
      <c r="Z272" s="5">
        <v>105.2</v>
      </c>
      <c r="AA272" s="5" t="s">
        <v>68</v>
      </c>
      <c r="AB272" s="5"/>
      <c r="AC272" s="5"/>
      <c r="AD272" s="5"/>
      <c r="AE272" s="5"/>
      <c r="AF272" s="5" t="s">
        <v>68</v>
      </c>
      <c r="AG272" s="5"/>
      <c r="AH272" s="12">
        <v>20393</v>
      </c>
      <c r="AI272" s="12"/>
      <c r="AJ272" s="12"/>
      <c r="AK272" s="12"/>
      <c r="AL272" s="12"/>
      <c r="AM272" s="12">
        <f t="shared" si="13"/>
        <v>20393</v>
      </c>
      <c r="AN272" s="12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</row>
    <row r="273" spans="1:240" s="2" customFormat="1" ht="30" customHeight="1">
      <c r="A273" s="5">
        <v>271</v>
      </c>
      <c r="B273" s="5" t="s">
        <v>68</v>
      </c>
      <c r="C273" s="5"/>
      <c r="D273" s="5"/>
      <c r="E273" s="5">
        <v>8855</v>
      </c>
      <c r="F273" s="5">
        <v>2249</v>
      </c>
      <c r="G273" s="5">
        <v>1278</v>
      </c>
      <c r="H273" s="5">
        <v>1438</v>
      </c>
      <c r="I273" s="5" t="s">
        <v>13</v>
      </c>
      <c r="J273" s="34">
        <v>75.934832276747201</v>
      </c>
      <c r="K273" s="10">
        <v>5</v>
      </c>
      <c r="L273" s="11">
        <v>437.9</v>
      </c>
      <c r="M273" s="31">
        <v>10</v>
      </c>
      <c r="N273" s="5">
        <v>82.25</v>
      </c>
      <c r="O273" s="5">
        <v>122221</v>
      </c>
      <c r="P273" s="5" t="s">
        <v>48</v>
      </c>
      <c r="Q273" s="5">
        <v>2</v>
      </c>
      <c r="R273" s="5">
        <v>8</v>
      </c>
      <c r="S273" s="5">
        <v>1000</v>
      </c>
      <c r="T273" s="5">
        <v>250</v>
      </c>
      <c r="U273" s="5">
        <v>380</v>
      </c>
      <c r="V273" s="5">
        <f t="shared" si="16"/>
        <v>5.36</v>
      </c>
      <c r="W273" s="5" t="s">
        <v>10</v>
      </c>
      <c r="X273" s="5">
        <v>46</v>
      </c>
      <c r="Y273" s="5">
        <v>1831.1</v>
      </c>
      <c r="Z273" s="5">
        <v>157.80000000000001</v>
      </c>
      <c r="AA273" s="5" t="s">
        <v>68</v>
      </c>
      <c r="AB273" s="5"/>
      <c r="AC273" s="5"/>
      <c r="AD273" s="5"/>
      <c r="AE273" s="5"/>
      <c r="AF273" s="5" t="s">
        <v>68</v>
      </c>
      <c r="AG273" s="5"/>
      <c r="AH273" s="12">
        <v>25843</v>
      </c>
      <c r="AI273" s="12"/>
      <c r="AJ273" s="12"/>
      <c r="AK273" s="12"/>
      <c r="AL273" s="12"/>
      <c r="AM273" s="12">
        <f t="shared" si="13"/>
        <v>25843</v>
      </c>
      <c r="AN273" s="12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</row>
    <row r="274" spans="1:240" s="2" customFormat="1" ht="30" customHeight="1">
      <c r="A274" s="5">
        <v>272</v>
      </c>
      <c r="B274" s="5" t="s">
        <v>68</v>
      </c>
      <c r="C274" s="5"/>
      <c r="D274" s="5"/>
      <c r="E274" s="5">
        <v>10955</v>
      </c>
      <c r="F274" s="5">
        <v>2249</v>
      </c>
      <c r="G274" s="5">
        <v>1278</v>
      </c>
      <c r="H274" s="5">
        <v>1625</v>
      </c>
      <c r="I274" s="5" t="s">
        <v>13</v>
      </c>
      <c r="J274" s="34">
        <v>79.559034136952775</v>
      </c>
      <c r="K274" s="10">
        <v>5</v>
      </c>
      <c r="L274" s="11">
        <v>458.8</v>
      </c>
      <c r="M274" s="31">
        <v>10</v>
      </c>
      <c r="N274" s="5">
        <v>32.86</v>
      </c>
      <c r="O274" s="5">
        <v>168304</v>
      </c>
      <c r="P274" s="5" t="s">
        <v>48</v>
      </c>
      <c r="Q274" s="5">
        <v>2</v>
      </c>
      <c r="R274" s="5">
        <v>10</v>
      </c>
      <c r="S274" s="5">
        <v>1000</v>
      </c>
      <c r="T274" s="5">
        <v>250</v>
      </c>
      <c r="U274" s="5">
        <v>380</v>
      </c>
      <c r="V274" s="5">
        <f t="shared" si="16"/>
        <v>6.7</v>
      </c>
      <c r="W274" s="5" t="s">
        <v>10</v>
      </c>
      <c r="X274" s="5">
        <v>47</v>
      </c>
      <c r="Y274" s="5">
        <v>1524.2</v>
      </c>
      <c r="Z274" s="5">
        <v>131.30000000000001</v>
      </c>
      <c r="AA274" s="5" t="s">
        <v>68</v>
      </c>
      <c r="AB274" s="5"/>
      <c r="AC274" s="5"/>
      <c r="AD274" s="5"/>
      <c r="AE274" s="5"/>
      <c r="AF274" s="5" t="s">
        <v>68</v>
      </c>
      <c r="AG274" s="5"/>
      <c r="AH274" s="12">
        <v>28159</v>
      </c>
      <c r="AI274" s="12"/>
      <c r="AJ274" s="12"/>
      <c r="AK274" s="12"/>
      <c r="AL274" s="12"/>
      <c r="AM274" s="12">
        <f t="shared" si="13"/>
        <v>28159</v>
      </c>
      <c r="AN274" s="12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</row>
    <row r="275" spans="1:240" s="2" customFormat="1" ht="30" customHeight="1">
      <c r="A275" s="5">
        <v>273</v>
      </c>
      <c r="B275" s="5" t="s">
        <v>68</v>
      </c>
      <c r="C275" s="5"/>
      <c r="D275" s="5"/>
      <c r="E275" s="5">
        <v>10955</v>
      </c>
      <c r="F275" s="5">
        <v>2249</v>
      </c>
      <c r="G275" s="5">
        <v>1278</v>
      </c>
      <c r="H275" s="5">
        <v>1890</v>
      </c>
      <c r="I275" s="5" t="s">
        <v>13</v>
      </c>
      <c r="J275" s="34">
        <v>92.668587277217881</v>
      </c>
      <c r="K275" s="10">
        <v>5</v>
      </c>
      <c r="L275" s="11">
        <v>534.4</v>
      </c>
      <c r="M275" s="31">
        <v>10</v>
      </c>
      <c r="N275" s="5">
        <v>21.05</v>
      </c>
      <c r="O275" s="5">
        <v>152683</v>
      </c>
      <c r="P275" s="5" t="s">
        <v>48</v>
      </c>
      <c r="Q275" s="5">
        <v>2</v>
      </c>
      <c r="R275" s="5">
        <v>10</v>
      </c>
      <c r="S275" s="5">
        <v>1000</v>
      </c>
      <c r="T275" s="5">
        <v>250</v>
      </c>
      <c r="U275" s="5">
        <v>380</v>
      </c>
      <c r="V275" s="5">
        <f t="shared" si="16"/>
        <v>6.7</v>
      </c>
      <c r="W275" s="5" t="s">
        <v>10</v>
      </c>
      <c r="X275" s="5">
        <v>47</v>
      </c>
      <c r="Y275" s="5">
        <v>2286.1999999999998</v>
      </c>
      <c r="Z275" s="5">
        <v>197</v>
      </c>
      <c r="AA275" s="5" t="s">
        <v>68</v>
      </c>
      <c r="AB275" s="5"/>
      <c r="AC275" s="5"/>
      <c r="AD275" s="5"/>
      <c r="AE275" s="5"/>
      <c r="AF275" s="5" t="s">
        <v>68</v>
      </c>
      <c r="AG275" s="5"/>
      <c r="AH275" s="12">
        <v>33609</v>
      </c>
      <c r="AI275" s="12"/>
      <c r="AJ275" s="12"/>
      <c r="AK275" s="12"/>
      <c r="AL275" s="12"/>
      <c r="AM275" s="12">
        <f t="shared" si="13"/>
        <v>33609</v>
      </c>
      <c r="AN275" s="12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</row>
    <row r="276" spans="1:240" s="2" customFormat="1" ht="30" customHeight="1">
      <c r="A276" s="5">
        <v>274</v>
      </c>
      <c r="B276" s="5" t="s">
        <v>68</v>
      </c>
      <c r="C276" s="5"/>
      <c r="D276" s="5"/>
      <c r="E276" s="5">
        <v>3955</v>
      </c>
      <c r="F276" s="5">
        <v>2249</v>
      </c>
      <c r="G276" s="5">
        <v>1252</v>
      </c>
      <c r="H276" s="5">
        <v>602</v>
      </c>
      <c r="I276" s="5" t="s">
        <v>13</v>
      </c>
      <c r="J276" s="34">
        <v>32.149618415412043</v>
      </c>
      <c r="K276" s="10">
        <v>5</v>
      </c>
      <c r="L276" s="5">
        <v>185.4</v>
      </c>
      <c r="M276" s="31">
        <v>10</v>
      </c>
      <c r="N276" s="5">
        <v>54.3</v>
      </c>
      <c r="O276" s="5">
        <v>85251</v>
      </c>
      <c r="P276" s="5" t="s">
        <v>48</v>
      </c>
      <c r="Q276" s="5">
        <v>2</v>
      </c>
      <c r="R276" s="5">
        <v>4</v>
      </c>
      <c r="S276" s="5">
        <v>800</v>
      </c>
      <c r="T276" s="5">
        <v>660</v>
      </c>
      <c r="U276" s="5">
        <v>880</v>
      </c>
      <c r="V276" s="5">
        <f t="shared" ref="V276:V293" si="17">2*R276</f>
        <v>8</v>
      </c>
      <c r="W276" s="5" t="s">
        <v>10</v>
      </c>
      <c r="X276" s="5">
        <v>56</v>
      </c>
      <c r="Y276" s="5">
        <v>479.6</v>
      </c>
      <c r="Z276" s="5">
        <v>77</v>
      </c>
      <c r="AA276" s="5" t="s">
        <v>68</v>
      </c>
      <c r="AB276" s="5"/>
      <c r="AC276" s="5"/>
      <c r="AD276" s="5"/>
      <c r="AE276" s="5"/>
      <c r="AF276" s="5" t="s">
        <v>68</v>
      </c>
      <c r="AG276" s="5"/>
      <c r="AH276" s="12" t="s">
        <v>48</v>
      </c>
      <c r="AI276" s="12"/>
      <c r="AJ276" s="12"/>
      <c r="AK276" s="12"/>
      <c r="AL276" s="12"/>
      <c r="AM276" s="12" t="str">
        <f t="shared" si="13"/>
        <v>_</v>
      </c>
      <c r="AN276" s="12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</row>
    <row r="277" spans="1:240" s="2" customFormat="1" ht="30" customHeight="1">
      <c r="A277" s="5">
        <v>275</v>
      </c>
      <c r="B277" s="5" t="s">
        <v>68</v>
      </c>
      <c r="C277" s="5"/>
      <c r="D277" s="5"/>
      <c r="E277" s="5">
        <v>3955</v>
      </c>
      <c r="F277" s="5">
        <v>2249</v>
      </c>
      <c r="G277" s="5">
        <v>1252</v>
      </c>
      <c r="H277" s="5">
        <v>623</v>
      </c>
      <c r="I277" s="5" t="s">
        <v>13</v>
      </c>
      <c r="J277" s="34">
        <v>40.802617115137288</v>
      </c>
      <c r="K277" s="10">
        <v>5</v>
      </c>
      <c r="L277" s="5">
        <v>235.3</v>
      </c>
      <c r="M277" s="31">
        <v>10</v>
      </c>
      <c r="N277" s="5">
        <v>63.6</v>
      </c>
      <c r="O277" s="5">
        <v>80929</v>
      </c>
      <c r="P277" s="5" t="s">
        <v>48</v>
      </c>
      <c r="Q277" s="5">
        <v>2</v>
      </c>
      <c r="R277" s="5">
        <v>4</v>
      </c>
      <c r="S277" s="5">
        <v>800</v>
      </c>
      <c r="T277" s="5">
        <v>660</v>
      </c>
      <c r="U277" s="5">
        <v>880</v>
      </c>
      <c r="V277" s="5">
        <f t="shared" si="17"/>
        <v>8</v>
      </c>
      <c r="W277" s="5" t="s">
        <v>10</v>
      </c>
      <c r="X277" s="5">
        <v>56</v>
      </c>
      <c r="Y277" s="5">
        <v>719.3</v>
      </c>
      <c r="Z277" s="5">
        <v>116</v>
      </c>
      <c r="AA277" s="5" t="s">
        <v>68</v>
      </c>
      <c r="AB277" s="5"/>
      <c r="AC277" s="5"/>
      <c r="AD277" s="5"/>
      <c r="AE277" s="5"/>
      <c r="AF277" s="5" t="s">
        <v>68</v>
      </c>
      <c r="AG277" s="5"/>
      <c r="AH277" s="12" t="s">
        <v>48</v>
      </c>
      <c r="AI277" s="12"/>
      <c r="AJ277" s="12"/>
      <c r="AK277" s="12"/>
      <c r="AL277" s="12"/>
      <c r="AM277" s="12" t="str">
        <f t="shared" si="13"/>
        <v>_</v>
      </c>
      <c r="AN277" s="12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</row>
    <row r="278" spans="1:240" s="2" customFormat="1" ht="30" customHeight="1">
      <c r="A278" s="5">
        <v>276</v>
      </c>
      <c r="B278" s="5" t="s">
        <v>68</v>
      </c>
      <c r="C278" s="5"/>
      <c r="D278" s="5"/>
      <c r="E278" s="5">
        <v>3955</v>
      </c>
      <c r="F278" s="5">
        <v>2249</v>
      </c>
      <c r="G278" s="5">
        <v>1252</v>
      </c>
      <c r="H278" s="5">
        <v>670</v>
      </c>
      <c r="I278" s="5" t="s">
        <v>13</v>
      </c>
      <c r="J278" s="34">
        <v>45.796732597143041</v>
      </c>
      <c r="K278" s="10">
        <v>5</v>
      </c>
      <c r="L278" s="11">
        <v>264.10000000000002</v>
      </c>
      <c r="M278" s="31">
        <v>10</v>
      </c>
      <c r="N278" s="5">
        <v>44.7</v>
      </c>
      <c r="O278" s="5">
        <v>76940</v>
      </c>
      <c r="P278" s="5" t="s">
        <v>48</v>
      </c>
      <c r="Q278" s="5">
        <v>2</v>
      </c>
      <c r="R278" s="5">
        <v>4</v>
      </c>
      <c r="S278" s="5">
        <v>800</v>
      </c>
      <c r="T278" s="5">
        <v>660</v>
      </c>
      <c r="U278" s="5">
        <v>880</v>
      </c>
      <c r="V278" s="5">
        <f t="shared" si="17"/>
        <v>8</v>
      </c>
      <c r="W278" s="5" t="s">
        <v>10</v>
      </c>
      <c r="X278" s="5">
        <v>56</v>
      </c>
      <c r="Y278" s="5">
        <v>959</v>
      </c>
      <c r="Z278" s="5">
        <v>153</v>
      </c>
      <c r="AA278" s="5" t="s">
        <v>68</v>
      </c>
      <c r="AB278" s="5"/>
      <c r="AC278" s="5"/>
      <c r="AD278" s="5"/>
      <c r="AE278" s="5"/>
      <c r="AF278" s="5" t="s">
        <v>68</v>
      </c>
      <c r="AG278" s="5"/>
      <c r="AH278" s="12" t="s">
        <v>48</v>
      </c>
      <c r="AI278" s="12"/>
      <c r="AJ278" s="12"/>
      <c r="AK278" s="12"/>
      <c r="AL278" s="12"/>
      <c r="AM278" s="12" t="str">
        <f t="shared" si="13"/>
        <v>_</v>
      </c>
      <c r="AN278" s="12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</row>
    <row r="279" spans="1:240" s="2" customFormat="1" ht="30" customHeight="1">
      <c r="A279" s="5">
        <v>277</v>
      </c>
      <c r="B279" s="5" t="s">
        <v>68</v>
      </c>
      <c r="C279" s="5"/>
      <c r="D279" s="5"/>
      <c r="E279" s="5">
        <v>3955</v>
      </c>
      <c r="F279" s="5">
        <v>2249</v>
      </c>
      <c r="G279" s="5">
        <v>1252</v>
      </c>
      <c r="H279" s="5">
        <v>738</v>
      </c>
      <c r="I279" s="5" t="s">
        <v>13</v>
      </c>
      <c r="J279" s="34">
        <v>48.605922555771272</v>
      </c>
      <c r="K279" s="10">
        <v>5</v>
      </c>
      <c r="L279" s="11">
        <v>280.3</v>
      </c>
      <c r="M279" s="31">
        <v>10</v>
      </c>
      <c r="N279" s="5">
        <v>36.299999999999997</v>
      </c>
      <c r="O279" s="5">
        <v>73324</v>
      </c>
      <c r="P279" s="5" t="s">
        <v>48</v>
      </c>
      <c r="Q279" s="5">
        <v>2</v>
      </c>
      <c r="R279" s="5">
        <v>4</v>
      </c>
      <c r="S279" s="5">
        <v>800</v>
      </c>
      <c r="T279" s="5">
        <v>660</v>
      </c>
      <c r="U279" s="5">
        <v>880</v>
      </c>
      <c r="V279" s="5">
        <f t="shared" si="17"/>
        <v>8</v>
      </c>
      <c r="W279" s="5" t="s">
        <v>10</v>
      </c>
      <c r="X279" s="5">
        <v>56</v>
      </c>
      <c r="Y279" s="5">
        <v>1198.9000000000001</v>
      </c>
      <c r="Z279" s="5">
        <v>192</v>
      </c>
      <c r="AA279" s="5" t="s">
        <v>68</v>
      </c>
      <c r="AB279" s="5"/>
      <c r="AC279" s="5"/>
      <c r="AD279" s="5"/>
      <c r="AE279" s="5"/>
      <c r="AF279" s="5" t="s">
        <v>68</v>
      </c>
      <c r="AG279" s="5"/>
      <c r="AH279" s="12" t="s">
        <v>48</v>
      </c>
      <c r="AI279" s="12"/>
      <c r="AJ279" s="12"/>
      <c r="AK279" s="12"/>
      <c r="AL279" s="12"/>
      <c r="AM279" s="12" t="str">
        <f t="shared" si="13"/>
        <v>_</v>
      </c>
      <c r="AN279" s="12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</row>
    <row r="280" spans="1:240" s="2" customFormat="1" ht="30" customHeight="1">
      <c r="A280" s="5">
        <v>278</v>
      </c>
      <c r="B280" s="5" t="s">
        <v>68</v>
      </c>
      <c r="C280" s="5"/>
      <c r="D280" s="5"/>
      <c r="E280" s="5">
        <v>5705</v>
      </c>
      <c r="F280" s="5">
        <v>2249</v>
      </c>
      <c r="G280" s="5">
        <v>1252</v>
      </c>
      <c r="H280" s="5">
        <v>740</v>
      </c>
      <c r="I280" s="5" t="s">
        <v>13</v>
      </c>
      <c r="J280" s="34">
        <v>47.530800472839481</v>
      </c>
      <c r="K280" s="10">
        <v>5</v>
      </c>
      <c r="L280" s="11">
        <v>274.10000000000002</v>
      </c>
      <c r="M280" s="31">
        <v>10</v>
      </c>
      <c r="N280" s="5">
        <v>34.700000000000003</v>
      </c>
      <c r="O280" s="5">
        <v>127770</v>
      </c>
      <c r="P280" s="5" t="s">
        <v>48</v>
      </c>
      <c r="Q280" s="5">
        <v>2</v>
      </c>
      <c r="R280" s="5">
        <v>6</v>
      </c>
      <c r="S280" s="5">
        <v>800</v>
      </c>
      <c r="T280" s="5">
        <v>660</v>
      </c>
      <c r="U280" s="5">
        <v>880</v>
      </c>
      <c r="V280" s="5">
        <f t="shared" si="17"/>
        <v>12</v>
      </c>
      <c r="W280" s="5" t="s">
        <v>10</v>
      </c>
      <c r="X280" s="5">
        <v>58</v>
      </c>
      <c r="Y280" s="5">
        <v>715.9</v>
      </c>
      <c r="Z280" s="5">
        <v>116</v>
      </c>
      <c r="AA280" s="5" t="s">
        <v>68</v>
      </c>
      <c r="AB280" s="5"/>
      <c r="AC280" s="5"/>
      <c r="AD280" s="5"/>
      <c r="AE280" s="5"/>
      <c r="AF280" s="5" t="s">
        <v>68</v>
      </c>
      <c r="AG280" s="5"/>
      <c r="AH280" s="12" t="s">
        <v>48</v>
      </c>
      <c r="AI280" s="12"/>
      <c r="AJ280" s="12"/>
      <c r="AK280" s="12"/>
      <c r="AL280" s="12"/>
      <c r="AM280" s="12" t="str">
        <f t="shared" si="13"/>
        <v>_</v>
      </c>
      <c r="AN280" s="12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</row>
    <row r="281" spans="1:240" s="2" customFormat="1" ht="30" customHeight="1">
      <c r="A281" s="5">
        <v>279</v>
      </c>
      <c r="B281" s="5" t="s">
        <v>68</v>
      </c>
      <c r="C281" s="5"/>
      <c r="D281" s="5"/>
      <c r="E281" s="5">
        <v>5705</v>
      </c>
      <c r="F281" s="5">
        <v>2249</v>
      </c>
      <c r="G281" s="5">
        <v>1252</v>
      </c>
      <c r="H281" s="5">
        <v>851</v>
      </c>
      <c r="I281" s="5" t="s">
        <v>13</v>
      </c>
      <c r="J281" s="34">
        <v>61.004507867000839</v>
      </c>
      <c r="K281" s="10">
        <v>5</v>
      </c>
      <c r="L281" s="11">
        <v>351.8</v>
      </c>
      <c r="M281" s="31">
        <v>10</v>
      </c>
      <c r="N281" s="5">
        <v>61.3</v>
      </c>
      <c r="O281" s="5">
        <v>121245</v>
      </c>
      <c r="P281" s="5" t="s">
        <v>48</v>
      </c>
      <c r="Q281" s="5">
        <v>2</v>
      </c>
      <c r="R281" s="5">
        <v>6</v>
      </c>
      <c r="S281" s="5">
        <v>800</v>
      </c>
      <c r="T281" s="5">
        <v>660</v>
      </c>
      <c r="U281" s="5">
        <v>880</v>
      </c>
      <c r="V281" s="5">
        <f t="shared" si="17"/>
        <v>12</v>
      </c>
      <c r="W281" s="5" t="s">
        <v>10</v>
      </c>
      <c r="X281" s="5">
        <v>58</v>
      </c>
      <c r="Y281" s="5">
        <v>1073.8</v>
      </c>
      <c r="Z281" s="5">
        <v>174</v>
      </c>
      <c r="AA281" s="5" t="s">
        <v>68</v>
      </c>
      <c r="AB281" s="5"/>
      <c r="AC281" s="5"/>
      <c r="AD281" s="5"/>
      <c r="AE281" s="5"/>
      <c r="AF281" s="5" t="s">
        <v>68</v>
      </c>
      <c r="AG281" s="5"/>
      <c r="AH281" s="12" t="s">
        <v>48</v>
      </c>
      <c r="AI281" s="12"/>
      <c r="AJ281" s="12"/>
      <c r="AK281" s="12"/>
      <c r="AL281" s="12"/>
      <c r="AM281" s="12" t="str">
        <f t="shared" si="13"/>
        <v>_</v>
      </c>
      <c r="AN281" s="12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</row>
    <row r="282" spans="1:240" s="2" customFormat="1" ht="30" customHeight="1">
      <c r="A282" s="5">
        <v>280</v>
      </c>
      <c r="B282" s="5" t="s">
        <v>68</v>
      </c>
      <c r="C282" s="5"/>
      <c r="D282" s="5"/>
      <c r="E282" s="5">
        <v>5705</v>
      </c>
      <c r="F282" s="5">
        <v>2249</v>
      </c>
      <c r="G282" s="5">
        <v>1252</v>
      </c>
      <c r="H282" s="5">
        <v>955</v>
      </c>
      <c r="I282" s="5" t="s">
        <v>13</v>
      </c>
      <c r="J282" s="34">
        <v>68.547703126280368</v>
      </c>
      <c r="K282" s="10">
        <v>5</v>
      </c>
      <c r="L282" s="11">
        <v>395.3</v>
      </c>
      <c r="M282" s="31">
        <v>10</v>
      </c>
      <c r="N282" s="5">
        <v>45.4</v>
      </c>
      <c r="O282" s="5">
        <v>115228</v>
      </c>
      <c r="P282" s="5" t="s">
        <v>48</v>
      </c>
      <c r="Q282" s="5">
        <v>2</v>
      </c>
      <c r="R282" s="5">
        <v>6</v>
      </c>
      <c r="S282" s="5">
        <v>800</v>
      </c>
      <c r="T282" s="5">
        <v>660</v>
      </c>
      <c r="U282" s="5">
        <v>880</v>
      </c>
      <c r="V282" s="5">
        <f t="shared" si="17"/>
        <v>12</v>
      </c>
      <c r="W282" s="5" t="s">
        <v>10</v>
      </c>
      <c r="X282" s="5">
        <v>58</v>
      </c>
      <c r="Y282" s="5">
        <v>1431.9</v>
      </c>
      <c r="Z282" s="5">
        <v>232</v>
      </c>
      <c r="AA282" s="5" t="s">
        <v>68</v>
      </c>
      <c r="AB282" s="5"/>
      <c r="AC282" s="5"/>
      <c r="AD282" s="5"/>
      <c r="AE282" s="5"/>
      <c r="AF282" s="5" t="s">
        <v>68</v>
      </c>
      <c r="AG282" s="5"/>
      <c r="AH282" s="12" t="s">
        <v>48</v>
      </c>
      <c r="AI282" s="12"/>
      <c r="AJ282" s="12"/>
      <c r="AK282" s="12"/>
      <c r="AL282" s="12"/>
      <c r="AM282" s="12" t="str">
        <f t="shared" si="13"/>
        <v>_</v>
      </c>
      <c r="AN282" s="12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</row>
    <row r="283" spans="1:240" s="2" customFormat="1" ht="30" customHeight="1">
      <c r="A283" s="5">
        <v>281</v>
      </c>
      <c r="B283" s="5" t="s">
        <v>68</v>
      </c>
      <c r="C283" s="5"/>
      <c r="D283" s="5"/>
      <c r="E283" s="5">
        <v>5705</v>
      </c>
      <c r="F283" s="5">
        <v>2249</v>
      </c>
      <c r="G283" s="5">
        <v>1252</v>
      </c>
      <c r="H283" s="5">
        <v>1050</v>
      </c>
      <c r="I283" s="5" t="s">
        <v>13</v>
      </c>
      <c r="J283" s="34">
        <v>72.640103312923955</v>
      </c>
      <c r="K283" s="10">
        <v>5</v>
      </c>
      <c r="L283" s="11">
        <v>418.9</v>
      </c>
      <c r="M283" s="31">
        <v>10</v>
      </c>
      <c r="N283" s="5">
        <v>33.6</v>
      </c>
      <c r="O283" s="5">
        <v>109781</v>
      </c>
      <c r="P283" s="5" t="s">
        <v>48</v>
      </c>
      <c r="Q283" s="5">
        <v>2</v>
      </c>
      <c r="R283" s="5">
        <v>6</v>
      </c>
      <c r="S283" s="5">
        <v>800</v>
      </c>
      <c r="T283" s="5">
        <v>660</v>
      </c>
      <c r="U283" s="5">
        <v>880</v>
      </c>
      <c r="V283" s="5">
        <f t="shared" si="17"/>
        <v>12</v>
      </c>
      <c r="W283" s="5" t="s">
        <v>10</v>
      </c>
      <c r="X283" s="5">
        <v>58</v>
      </c>
      <c r="Y283" s="5">
        <v>1789.8</v>
      </c>
      <c r="Z283" s="5">
        <v>291</v>
      </c>
      <c r="AA283" s="5" t="s">
        <v>68</v>
      </c>
      <c r="AB283" s="5"/>
      <c r="AC283" s="5"/>
      <c r="AD283" s="5"/>
      <c r="AE283" s="5"/>
      <c r="AF283" s="5" t="s">
        <v>68</v>
      </c>
      <c r="AG283" s="5"/>
      <c r="AH283" s="12" t="s">
        <v>48</v>
      </c>
      <c r="AI283" s="12"/>
      <c r="AJ283" s="12"/>
      <c r="AK283" s="12"/>
      <c r="AL283" s="12"/>
      <c r="AM283" s="12" t="str">
        <f t="shared" si="13"/>
        <v>_</v>
      </c>
      <c r="AN283" s="12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</row>
    <row r="284" spans="1:240" s="2" customFormat="1" ht="30" customHeight="1">
      <c r="A284" s="5">
        <v>282</v>
      </c>
      <c r="B284" s="5" t="s">
        <v>68</v>
      </c>
      <c r="C284" s="5"/>
      <c r="D284" s="5"/>
      <c r="E284" s="5">
        <v>7455</v>
      </c>
      <c r="F284" s="5">
        <v>2249</v>
      </c>
      <c r="G284" s="5">
        <v>1252</v>
      </c>
      <c r="H284" s="5">
        <v>1058</v>
      </c>
      <c r="I284" s="5" t="s">
        <v>13</v>
      </c>
      <c r="J284" s="34">
        <v>64.611369048449433</v>
      </c>
      <c r="K284" s="10">
        <v>5</v>
      </c>
      <c r="L284" s="11">
        <v>372.6</v>
      </c>
      <c r="M284" s="31">
        <v>10</v>
      </c>
      <c r="N284" s="5">
        <v>78.400000000000006</v>
      </c>
      <c r="O284" s="5">
        <v>170288</v>
      </c>
      <c r="P284" s="5" t="s">
        <v>48</v>
      </c>
      <c r="Q284" s="5">
        <v>2</v>
      </c>
      <c r="R284" s="5">
        <v>8</v>
      </c>
      <c r="S284" s="5">
        <v>800</v>
      </c>
      <c r="T284" s="5">
        <v>660</v>
      </c>
      <c r="U284" s="5">
        <v>880</v>
      </c>
      <c r="V284" s="5">
        <f t="shared" si="17"/>
        <v>16</v>
      </c>
      <c r="W284" s="5" t="s">
        <v>10</v>
      </c>
      <c r="X284" s="5">
        <v>59</v>
      </c>
      <c r="Y284" s="5">
        <v>952.3</v>
      </c>
      <c r="Z284" s="5">
        <v>155</v>
      </c>
      <c r="AA284" s="5" t="s">
        <v>68</v>
      </c>
      <c r="AB284" s="5"/>
      <c r="AC284" s="5"/>
      <c r="AD284" s="5"/>
      <c r="AE284" s="5"/>
      <c r="AF284" s="5" t="s">
        <v>68</v>
      </c>
      <c r="AG284" s="5"/>
      <c r="AH284" s="12" t="s">
        <v>48</v>
      </c>
      <c r="AI284" s="12"/>
      <c r="AJ284" s="12"/>
      <c r="AK284" s="12"/>
      <c r="AL284" s="12"/>
      <c r="AM284" s="12" t="str">
        <f t="shared" si="13"/>
        <v>_</v>
      </c>
      <c r="AN284" s="12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</row>
    <row r="285" spans="1:240" s="2" customFormat="1" ht="30" customHeight="1">
      <c r="A285" s="5">
        <v>283</v>
      </c>
      <c r="B285" s="5" t="s">
        <v>68</v>
      </c>
      <c r="C285" s="5"/>
      <c r="D285" s="5"/>
      <c r="E285" s="5">
        <v>7455</v>
      </c>
      <c r="F285" s="5">
        <v>2249</v>
      </c>
      <c r="G285" s="5">
        <v>1252</v>
      </c>
      <c r="H285" s="5">
        <v>1102</v>
      </c>
      <c r="I285" s="5" t="s">
        <v>13</v>
      </c>
      <c r="J285" s="34">
        <v>81.223739297621336</v>
      </c>
      <c r="K285" s="10">
        <v>5</v>
      </c>
      <c r="L285" s="11">
        <v>468.4</v>
      </c>
      <c r="M285" s="31">
        <v>10</v>
      </c>
      <c r="N285" s="5">
        <v>60.2</v>
      </c>
      <c r="O285" s="5">
        <v>161559</v>
      </c>
      <c r="P285" s="5" t="s">
        <v>48</v>
      </c>
      <c r="Q285" s="5">
        <v>2</v>
      </c>
      <c r="R285" s="5">
        <v>8</v>
      </c>
      <c r="S285" s="5">
        <v>800</v>
      </c>
      <c r="T285" s="5">
        <v>660</v>
      </c>
      <c r="U285" s="5">
        <v>880</v>
      </c>
      <c r="V285" s="5">
        <f t="shared" si="17"/>
        <v>16</v>
      </c>
      <c r="W285" s="5" t="s">
        <v>10</v>
      </c>
      <c r="X285" s="5">
        <v>59</v>
      </c>
      <c r="Y285" s="5">
        <v>1428.5</v>
      </c>
      <c r="Z285" s="5">
        <v>232</v>
      </c>
      <c r="AA285" s="5" t="s">
        <v>68</v>
      </c>
      <c r="AB285" s="5"/>
      <c r="AC285" s="5"/>
      <c r="AD285" s="5"/>
      <c r="AE285" s="5"/>
      <c r="AF285" s="5" t="s">
        <v>68</v>
      </c>
      <c r="AG285" s="5"/>
      <c r="AH285" s="12" t="s">
        <v>48</v>
      </c>
      <c r="AI285" s="12"/>
      <c r="AJ285" s="12"/>
      <c r="AK285" s="12"/>
      <c r="AL285" s="12"/>
      <c r="AM285" s="12" t="str">
        <f t="shared" si="13"/>
        <v>_</v>
      </c>
      <c r="AN285" s="12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</row>
    <row r="286" spans="1:240" s="2" customFormat="1" ht="30" customHeight="1">
      <c r="A286" s="5">
        <v>284</v>
      </c>
      <c r="B286" s="5" t="s">
        <v>68</v>
      </c>
      <c r="C286" s="5"/>
      <c r="D286" s="5"/>
      <c r="E286" s="5">
        <v>7455</v>
      </c>
      <c r="F286" s="5">
        <v>2249</v>
      </c>
      <c r="G286" s="5">
        <v>1252</v>
      </c>
      <c r="H286" s="5">
        <v>1241</v>
      </c>
      <c r="I286" s="5" t="s">
        <v>13</v>
      </c>
      <c r="J286" s="34">
        <v>91.281332976660707</v>
      </c>
      <c r="K286" s="10">
        <v>5</v>
      </c>
      <c r="L286" s="11">
        <v>526.4</v>
      </c>
      <c r="M286" s="31">
        <v>10</v>
      </c>
      <c r="N286" s="5">
        <v>45.7</v>
      </c>
      <c r="O286" s="5">
        <v>153515</v>
      </c>
      <c r="P286" s="5" t="s">
        <v>48</v>
      </c>
      <c r="Q286" s="5">
        <v>2</v>
      </c>
      <c r="R286" s="5">
        <v>8</v>
      </c>
      <c r="S286" s="5">
        <v>800</v>
      </c>
      <c r="T286" s="5">
        <v>660</v>
      </c>
      <c r="U286" s="5">
        <v>880</v>
      </c>
      <c r="V286" s="5">
        <f t="shared" si="17"/>
        <v>16</v>
      </c>
      <c r="W286" s="5" t="s">
        <v>10</v>
      </c>
      <c r="X286" s="5">
        <v>59</v>
      </c>
      <c r="Y286" s="5">
        <v>1904.6</v>
      </c>
      <c r="Z286" s="5">
        <v>310</v>
      </c>
      <c r="AA286" s="5" t="s">
        <v>68</v>
      </c>
      <c r="AB286" s="5"/>
      <c r="AC286" s="5"/>
      <c r="AD286" s="5"/>
      <c r="AE286" s="5"/>
      <c r="AF286" s="5" t="s">
        <v>68</v>
      </c>
      <c r="AG286" s="5"/>
      <c r="AH286" s="12" t="s">
        <v>48</v>
      </c>
      <c r="AI286" s="12"/>
      <c r="AJ286" s="12"/>
      <c r="AK286" s="12"/>
      <c r="AL286" s="12"/>
      <c r="AM286" s="12" t="str">
        <f t="shared" si="13"/>
        <v>_</v>
      </c>
      <c r="AN286" s="12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</row>
    <row r="287" spans="1:240" s="2" customFormat="1" ht="30" customHeight="1">
      <c r="A287" s="5">
        <v>285</v>
      </c>
      <c r="B287" s="5" t="s">
        <v>68</v>
      </c>
      <c r="C287" s="5"/>
      <c r="D287" s="5"/>
      <c r="E287" s="5">
        <v>7455</v>
      </c>
      <c r="F287" s="5">
        <v>2249</v>
      </c>
      <c r="G287" s="5">
        <v>1252</v>
      </c>
      <c r="H287" s="5">
        <v>1365</v>
      </c>
      <c r="I287" s="5" t="s">
        <v>13</v>
      </c>
      <c r="J287" s="34">
        <v>98.026857013119866</v>
      </c>
      <c r="K287" s="10">
        <v>5</v>
      </c>
      <c r="L287" s="11">
        <v>565.29999999999995</v>
      </c>
      <c r="M287" s="31">
        <v>10</v>
      </c>
      <c r="N287" s="5">
        <v>75.400000000000006</v>
      </c>
      <c r="O287" s="5">
        <v>146237</v>
      </c>
      <c r="P287" s="5" t="s">
        <v>48</v>
      </c>
      <c r="Q287" s="5">
        <v>2</v>
      </c>
      <c r="R287" s="5">
        <v>8</v>
      </c>
      <c r="S287" s="5">
        <v>800</v>
      </c>
      <c r="T287" s="5">
        <v>660</v>
      </c>
      <c r="U287" s="5">
        <v>880</v>
      </c>
      <c r="V287" s="5">
        <f t="shared" si="17"/>
        <v>16</v>
      </c>
      <c r="W287" s="5" t="s">
        <v>10</v>
      </c>
      <c r="X287" s="5">
        <v>59</v>
      </c>
      <c r="Y287" s="5">
        <v>2380.8000000000002</v>
      </c>
      <c r="Z287" s="5">
        <v>387</v>
      </c>
      <c r="AA287" s="5" t="s">
        <v>68</v>
      </c>
      <c r="AB287" s="5"/>
      <c r="AC287" s="5"/>
      <c r="AD287" s="5"/>
      <c r="AE287" s="5"/>
      <c r="AF287" s="5" t="s">
        <v>68</v>
      </c>
      <c r="AG287" s="5"/>
      <c r="AH287" s="12" t="s">
        <v>48</v>
      </c>
      <c r="AI287" s="12"/>
      <c r="AJ287" s="12"/>
      <c r="AK287" s="12"/>
      <c r="AL287" s="12"/>
      <c r="AM287" s="12" t="str">
        <f t="shared" si="13"/>
        <v>_</v>
      </c>
      <c r="AN287" s="12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</row>
    <row r="288" spans="1:240" s="2" customFormat="1" ht="30" customHeight="1">
      <c r="A288" s="5">
        <v>286</v>
      </c>
      <c r="B288" s="5" t="s">
        <v>68</v>
      </c>
      <c r="C288" s="5"/>
      <c r="D288" s="5"/>
      <c r="E288" s="5">
        <v>9205</v>
      </c>
      <c r="F288" s="5">
        <v>2249</v>
      </c>
      <c r="G288" s="5">
        <v>1252</v>
      </c>
      <c r="H288" s="5">
        <v>1219</v>
      </c>
      <c r="I288" s="5" t="s">
        <v>13</v>
      </c>
      <c r="J288" s="34">
        <v>100.21178253649738</v>
      </c>
      <c r="K288" s="10">
        <v>5</v>
      </c>
      <c r="L288" s="11">
        <v>577.9</v>
      </c>
      <c r="M288" s="31">
        <v>10</v>
      </c>
      <c r="N288" s="5">
        <v>35.1</v>
      </c>
      <c r="O288" s="5">
        <v>201873</v>
      </c>
      <c r="P288" s="5" t="s">
        <v>48</v>
      </c>
      <c r="Q288" s="5">
        <v>2</v>
      </c>
      <c r="R288" s="5">
        <v>10</v>
      </c>
      <c r="S288" s="5">
        <v>800</v>
      </c>
      <c r="T288" s="5">
        <v>660</v>
      </c>
      <c r="U288" s="5">
        <v>880</v>
      </c>
      <c r="V288" s="5">
        <f t="shared" si="17"/>
        <v>20</v>
      </c>
      <c r="W288" s="5" t="s">
        <v>10</v>
      </c>
      <c r="X288" s="5">
        <v>60</v>
      </c>
      <c r="Y288" s="5">
        <v>1783</v>
      </c>
      <c r="Z288" s="5">
        <v>289</v>
      </c>
      <c r="AA288" s="5" t="s">
        <v>68</v>
      </c>
      <c r="AB288" s="5"/>
      <c r="AC288" s="5"/>
      <c r="AD288" s="5"/>
      <c r="AE288" s="5"/>
      <c r="AF288" s="5" t="s">
        <v>68</v>
      </c>
      <c r="AG288" s="5"/>
      <c r="AH288" s="12" t="s">
        <v>48</v>
      </c>
      <c r="AI288" s="12"/>
      <c r="AJ288" s="12"/>
      <c r="AK288" s="12"/>
      <c r="AL288" s="12"/>
      <c r="AM288" s="12" t="str">
        <f t="shared" si="13"/>
        <v>_</v>
      </c>
      <c r="AN288" s="12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</row>
    <row r="289" spans="1:240" s="2" customFormat="1" ht="30" customHeight="1">
      <c r="A289" s="5">
        <v>287</v>
      </c>
      <c r="B289" s="5" t="s">
        <v>68</v>
      </c>
      <c r="C289" s="5"/>
      <c r="D289" s="5"/>
      <c r="E289" s="5">
        <v>9205</v>
      </c>
      <c r="F289" s="5">
        <v>2249</v>
      </c>
      <c r="G289" s="5">
        <v>1252</v>
      </c>
      <c r="H289" s="5">
        <v>1528</v>
      </c>
      <c r="I289" s="5" t="s">
        <v>13</v>
      </c>
      <c r="J289" s="34">
        <v>115.28083237629947</v>
      </c>
      <c r="K289" s="10">
        <v>5</v>
      </c>
      <c r="L289" s="11">
        <v>664.8</v>
      </c>
      <c r="M289" s="31">
        <v>10</v>
      </c>
      <c r="N289" s="5">
        <v>85.5</v>
      </c>
      <c r="O289" s="5">
        <v>191801</v>
      </c>
      <c r="P289" s="5" t="s">
        <v>48</v>
      </c>
      <c r="Q289" s="5">
        <v>2</v>
      </c>
      <c r="R289" s="5">
        <v>10</v>
      </c>
      <c r="S289" s="5">
        <v>800</v>
      </c>
      <c r="T289" s="5">
        <v>660</v>
      </c>
      <c r="U289" s="5">
        <v>880</v>
      </c>
      <c r="V289" s="5">
        <f t="shared" si="17"/>
        <v>20</v>
      </c>
      <c r="W289" s="5" t="s">
        <v>10</v>
      </c>
      <c r="X289" s="5">
        <v>60</v>
      </c>
      <c r="Y289" s="5">
        <v>2377.4</v>
      </c>
      <c r="Z289" s="5">
        <v>386</v>
      </c>
      <c r="AA289" s="5" t="s">
        <v>68</v>
      </c>
      <c r="AB289" s="5"/>
      <c r="AC289" s="5"/>
      <c r="AD289" s="5"/>
      <c r="AE289" s="5"/>
      <c r="AF289" s="5" t="s">
        <v>68</v>
      </c>
      <c r="AG289" s="5"/>
      <c r="AH289" s="12" t="s">
        <v>48</v>
      </c>
      <c r="AI289" s="12"/>
      <c r="AJ289" s="12"/>
      <c r="AK289" s="12"/>
      <c r="AL289" s="12"/>
      <c r="AM289" s="12" t="str">
        <f t="shared" ref="AM289:AM306" si="18">AH289</f>
        <v>_</v>
      </c>
      <c r="AN289" s="12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</row>
    <row r="290" spans="1:240" s="2" customFormat="1" ht="30" customHeight="1">
      <c r="A290" s="5">
        <v>288</v>
      </c>
      <c r="B290" s="5" t="s">
        <v>68</v>
      </c>
      <c r="C290" s="5"/>
      <c r="D290" s="5"/>
      <c r="E290" s="5">
        <v>9205</v>
      </c>
      <c r="F290" s="5">
        <v>2249</v>
      </c>
      <c r="G290" s="5">
        <v>1252</v>
      </c>
      <c r="H290" s="5">
        <v>1681</v>
      </c>
      <c r="I290" s="5" t="s">
        <v>13</v>
      </c>
      <c r="J290" s="34">
        <v>122.06103777027256</v>
      </c>
      <c r="K290" s="10">
        <v>5</v>
      </c>
      <c r="L290" s="11">
        <v>703.9</v>
      </c>
      <c r="M290" s="31">
        <v>10</v>
      </c>
      <c r="N290" s="5">
        <v>60.8</v>
      </c>
      <c r="O290" s="5">
        <v>182693</v>
      </c>
      <c r="P290" s="5" t="s">
        <v>48</v>
      </c>
      <c r="Q290" s="5">
        <v>2</v>
      </c>
      <c r="R290" s="5">
        <v>10</v>
      </c>
      <c r="S290" s="5">
        <v>800</v>
      </c>
      <c r="T290" s="5">
        <v>660</v>
      </c>
      <c r="U290" s="5">
        <v>880</v>
      </c>
      <c r="V290" s="5">
        <f t="shared" si="17"/>
        <v>20</v>
      </c>
      <c r="W290" s="5" t="s">
        <v>10</v>
      </c>
      <c r="X290" s="5">
        <v>60</v>
      </c>
      <c r="Y290" s="5">
        <v>2971.7</v>
      </c>
      <c r="Z290" s="5">
        <v>483</v>
      </c>
      <c r="AA290" s="5" t="s">
        <v>68</v>
      </c>
      <c r="AB290" s="5"/>
      <c r="AC290" s="5"/>
      <c r="AD290" s="5"/>
      <c r="AE290" s="5"/>
      <c r="AF290" s="5" t="s">
        <v>68</v>
      </c>
      <c r="AG290" s="5"/>
      <c r="AH290" s="12" t="s">
        <v>48</v>
      </c>
      <c r="AI290" s="12"/>
      <c r="AJ290" s="12"/>
      <c r="AK290" s="12"/>
      <c r="AL290" s="12"/>
      <c r="AM290" s="12" t="str">
        <f t="shared" si="18"/>
        <v>_</v>
      </c>
      <c r="AN290" s="12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</row>
    <row r="291" spans="1:240" s="2" customFormat="1" ht="30" customHeight="1">
      <c r="A291" s="5">
        <v>289</v>
      </c>
      <c r="B291" s="5" t="s">
        <v>68</v>
      </c>
      <c r="C291" s="5"/>
      <c r="D291" s="5"/>
      <c r="E291" s="5">
        <v>10955</v>
      </c>
      <c r="F291" s="5">
        <v>2249</v>
      </c>
      <c r="G291" s="5">
        <v>1252</v>
      </c>
      <c r="H291" s="5">
        <v>1448</v>
      </c>
      <c r="I291" s="5" t="s">
        <v>13</v>
      </c>
      <c r="J291" s="34">
        <v>121.62752080134847</v>
      </c>
      <c r="K291" s="10">
        <v>5</v>
      </c>
      <c r="L291" s="11">
        <v>701.4</v>
      </c>
      <c r="M291" s="31">
        <v>10</v>
      </c>
      <c r="N291" s="5">
        <v>59</v>
      </c>
      <c r="O291" s="5">
        <v>242186</v>
      </c>
      <c r="P291" s="5" t="s">
        <v>48</v>
      </c>
      <c r="Q291" s="5">
        <v>2</v>
      </c>
      <c r="R291" s="5">
        <v>12</v>
      </c>
      <c r="S291" s="5">
        <v>800</v>
      </c>
      <c r="T291" s="5">
        <v>660</v>
      </c>
      <c r="U291" s="5">
        <v>880</v>
      </c>
      <c r="V291" s="5">
        <f t="shared" si="17"/>
        <v>24</v>
      </c>
      <c r="W291" s="5" t="s">
        <v>10</v>
      </c>
      <c r="X291" s="5">
        <v>61</v>
      </c>
      <c r="Y291" s="5">
        <v>2137.6</v>
      </c>
      <c r="Z291" s="5">
        <v>347</v>
      </c>
      <c r="AA291" s="5" t="s">
        <v>68</v>
      </c>
      <c r="AB291" s="5"/>
      <c r="AC291" s="5"/>
      <c r="AD291" s="5"/>
      <c r="AE291" s="5"/>
      <c r="AF291" s="5" t="s">
        <v>68</v>
      </c>
      <c r="AG291" s="5"/>
      <c r="AH291" s="12" t="s">
        <v>48</v>
      </c>
      <c r="AI291" s="12"/>
      <c r="AJ291" s="12"/>
      <c r="AK291" s="12"/>
      <c r="AL291" s="12"/>
      <c r="AM291" s="12" t="str">
        <f t="shared" si="18"/>
        <v>_</v>
      </c>
      <c r="AN291" s="12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</row>
    <row r="292" spans="1:240" s="2" customFormat="1" ht="30" customHeight="1">
      <c r="A292" s="5">
        <v>290</v>
      </c>
      <c r="B292" s="5" t="s">
        <v>68</v>
      </c>
      <c r="C292" s="5"/>
      <c r="D292" s="5"/>
      <c r="E292" s="5">
        <v>10955</v>
      </c>
      <c r="F292" s="5">
        <v>2249</v>
      </c>
      <c r="G292" s="5">
        <v>1252</v>
      </c>
      <c r="H292" s="5">
        <v>1810</v>
      </c>
      <c r="I292" s="5" t="s">
        <v>13</v>
      </c>
      <c r="J292" s="34">
        <v>136.64454860487962</v>
      </c>
      <c r="K292" s="10">
        <v>5</v>
      </c>
      <c r="L292" s="11">
        <v>788</v>
      </c>
      <c r="M292" s="31">
        <v>10</v>
      </c>
      <c r="N292" s="5">
        <v>43.7</v>
      </c>
      <c r="O292" s="5">
        <v>230088</v>
      </c>
      <c r="P292" s="5" t="s">
        <v>48</v>
      </c>
      <c r="Q292" s="5">
        <v>2</v>
      </c>
      <c r="R292" s="5">
        <v>12</v>
      </c>
      <c r="S292" s="5">
        <v>800</v>
      </c>
      <c r="T292" s="5">
        <v>660</v>
      </c>
      <c r="U292" s="5">
        <v>880</v>
      </c>
      <c r="V292" s="5">
        <f t="shared" si="17"/>
        <v>24</v>
      </c>
      <c r="W292" s="5" t="s">
        <v>10</v>
      </c>
      <c r="X292" s="5">
        <v>61</v>
      </c>
      <c r="Y292" s="5">
        <v>2850.2</v>
      </c>
      <c r="Z292" s="5">
        <v>463</v>
      </c>
      <c r="AA292" s="5" t="s">
        <v>68</v>
      </c>
      <c r="AB292" s="5"/>
      <c r="AC292" s="5"/>
      <c r="AD292" s="5"/>
      <c r="AE292" s="5"/>
      <c r="AF292" s="5" t="s">
        <v>68</v>
      </c>
      <c r="AG292" s="5"/>
      <c r="AH292" s="12" t="s">
        <v>48</v>
      </c>
      <c r="AI292" s="12"/>
      <c r="AJ292" s="12"/>
      <c r="AK292" s="12"/>
      <c r="AL292" s="12"/>
      <c r="AM292" s="12" t="str">
        <f t="shared" si="18"/>
        <v>_</v>
      </c>
      <c r="AN292" s="12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</row>
    <row r="293" spans="1:240" s="2" customFormat="1" ht="30" customHeight="1">
      <c r="A293" s="5">
        <v>291</v>
      </c>
      <c r="B293" s="5" t="s">
        <v>68</v>
      </c>
      <c r="C293" s="5"/>
      <c r="D293" s="5"/>
      <c r="E293" s="5">
        <v>10955</v>
      </c>
      <c r="F293" s="5">
        <v>2249</v>
      </c>
      <c r="G293" s="5">
        <v>1252</v>
      </c>
      <c r="H293" s="5">
        <v>1992</v>
      </c>
      <c r="I293" s="5" t="s">
        <v>13</v>
      </c>
      <c r="J293" s="34">
        <v>144.81200829940991</v>
      </c>
      <c r="K293" s="10">
        <v>5</v>
      </c>
      <c r="L293" s="11">
        <v>835.1</v>
      </c>
      <c r="M293" s="31">
        <v>10</v>
      </c>
      <c r="N293" s="5">
        <v>32.299999999999997</v>
      </c>
      <c r="O293" s="5">
        <v>219149</v>
      </c>
      <c r="P293" s="5" t="s">
        <v>48</v>
      </c>
      <c r="Q293" s="5">
        <v>2</v>
      </c>
      <c r="R293" s="5">
        <v>12</v>
      </c>
      <c r="S293" s="5">
        <v>800</v>
      </c>
      <c r="T293" s="5">
        <v>660</v>
      </c>
      <c r="U293" s="5">
        <v>880</v>
      </c>
      <c r="V293" s="5">
        <f t="shared" si="17"/>
        <v>24</v>
      </c>
      <c r="W293" s="5" t="s">
        <v>10</v>
      </c>
      <c r="X293" s="5">
        <v>61</v>
      </c>
      <c r="Y293" s="5">
        <v>3562.7</v>
      </c>
      <c r="Z293" s="5">
        <v>578</v>
      </c>
      <c r="AA293" s="5" t="s">
        <v>68</v>
      </c>
      <c r="AB293" s="5"/>
      <c r="AC293" s="5"/>
      <c r="AD293" s="5"/>
      <c r="AE293" s="5"/>
      <c r="AF293" s="5" t="s">
        <v>68</v>
      </c>
      <c r="AG293" s="5"/>
      <c r="AH293" s="12" t="s">
        <v>48</v>
      </c>
      <c r="AI293" s="12"/>
      <c r="AJ293" s="12"/>
      <c r="AK293" s="12"/>
      <c r="AL293" s="12"/>
      <c r="AM293" s="12" t="str">
        <f t="shared" si="18"/>
        <v>_</v>
      </c>
      <c r="AN293" s="12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</row>
    <row r="294" spans="1:240" s="2" customFormat="1" ht="30" customHeight="1">
      <c r="A294" s="5">
        <v>292</v>
      </c>
      <c r="B294" s="5" t="s">
        <v>68</v>
      </c>
      <c r="C294" s="5"/>
      <c r="D294" s="5"/>
      <c r="E294" s="5">
        <v>4655</v>
      </c>
      <c r="F294" s="5">
        <v>2249</v>
      </c>
      <c r="G294" s="5">
        <v>1289</v>
      </c>
      <c r="H294" s="5">
        <v>987</v>
      </c>
      <c r="I294" s="5" t="s">
        <v>13</v>
      </c>
      <c r="J294" s="34">
        <v>35.132215161609913</v>
      </c>
      <c r="K294" s="10">
        <v>5</v>
      </c>
      <c r="L294" s="11">
        <v>202.6</v>
      </c>
      <c r="M294" s="31">
        <v>10</v>
      </c>
      <c r="N294" s="5">
        <v>38.5</v>
      </c>
      <c r="O294" s="5">
        <v>88388</v>
      </c>
      <c r="P294" s="5" t="s">
        <v>48</v>
      </c>
      <c r="Q294" s="5">
        <v>2</v>
      </c>
      <c r="R294" s="5">
        <v>4</v>
      </c>
      <c r="S294" s="5">
        <v>900</v>
      </c>
      <c r="T294" s="5">
        <v>660</v>
      </c>
      <c r="U294" s="5">
        <v>860</v>
      </c>
      <c r="V294" s="5">
        <f t="shared" ref="V294:V309" si="19">1.65*R294</f>
        <v>6.6</v>
      </c>
      <c r="W294" s="5" t="s">
        <v>10</v>
      </c>
      <c r="X294" s="5">
        <v>58</v>
      </c>
      <c r="Y294" s="5">
        <v>574.1</v>
      </c>
      <c r="Z294" s="5">
        <v>93</v>
      </c>
      <c r="AA294" s="5" t="s">
        <v>68</v>
      </c>
      <c r="AB294" s="5"/>
      <c r="AC294" s="5"/>
      <c r="AD294" s="5"/>
      <c r="AE294" s="5"/>
      <c r="AF294" s="5" t="s">
        <v>68</v>
      </c>
      <c r="AG294" s="5"/>
      <c r="AH294" s="12" t="s">
        <v>48</v>
      </c>
      <c r="AI294" s="12"/>
      <c r="AJ294" s="12"/>
      <c r="AK294" s="12"/>
      <c r="AL294" s="12"/>
      <c r="AM294" s="12" t="str">
        <f t="shared" si="18"/>
        <v>_</v>
      </c>
      <c r="AN294" s="12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</row>
    <row r="295" spans="1:240" s="2" customFormat="1" ht="30" customHeight="1">
      <c r="A295" s="5">
        <v>293</v>
      </c>
      <c r="B295" s="5" t="s">
        <v>68</v>
      </c>
      <c r="C295" s="5"/>
      <c r="D295" s="5"/>
      <c r="E295" s="5">
        <v>4655</v>
      </c>
      <c r="F295" s="5">
        <v>2249</v>
      </c>
      <c r="G295" s="5">
        <v>1289</v>
      </c>
      <c r="H295" s="5">
        <v>903</v>
      </c>
      <c r="I295" s="5" t="s">
        <v>13</v>
      </c>
      <c r="J295" s="34">
        <v>44.634907120426419</v>
      </c>
      <c r="K295" s="10">
        <v>5</v>
      </c>
      <c r="L295" s="11">
        <v>257.39999999999998</v>
      </c>
      <c r="M295" s="31">
        <v>10</v>
      </c>
      <c r="N295" s="5">
        <v>51.8</v>
      </c>
      <c r="O295" s="5">
        <v>84761</v>
      </c>
      <c r="P295" s="5" t="s">
        <v>48</v>
      </c>
      <c r="Q295" s="5">
        <v>2</v>
      </c>
      <c r="R295" s="5">
        <v>4</v>
      </c>
      <c r="S295" s="5">
        <v>900</v>
      </c>
      <c r="T295" s="5">
        <v>660</v>
      </c>
      <c r="U295" s="5">
        <v>860</v>
      </c>
      <c r="V295" s="5">
        <f t="shared" si="19"/>
        <v>6.6</v>
      </c>
      <c r="W295" s="5" t="s">
        <v>10</v>
      </c>
      <c r="X295" s="5">
        <v>58</v>
      </c>
      <c r="Y295" s="5">
        <v>861.1</v>
      </c>
      <c r="Z295" s="5">
        <v>140</v>
      </c>
      <c r="AA295" s="5" t="s">
        <v>68</v>
      </c>
      <c r="AB295" s="5"/>
      <c r="AC295" s="5"/>
      <c r="AD295" s="5"/>
      <c r="AE295" s="5"/>
      <c r="AF295" s="5" t="s">
        <v>68</v>
      </c>
      <c r="AG295" s="5"/>
      <c r="AH295" s="12" t="s">
        <v>48</v>
      </c>
      <c r="AI295" s="12"/>
      <c r="AJ295" s="12"/>
      <c r="AK295" s="12"/>
      <c r="AL295" s="12"/>
      <c r="AM295" s="12" t="str">
        <f t="shared" si="18"/>
        <v>_</v>
      </c>
      <c r="AN295" s="12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</row>
    <row r="296" spans="1:240" s="2" customFormat="1" ht="30" customHeight="1">
      <c r="A296" s="5">
        <v>294</v>
      </c>
      <c r="B296" s="5" t="s">
        <v>68</v>
      </c>
      <c r="C296" s="5"/>
      <c r="D296" s="5"/>
      <c r="E296" s="5">
        <v>4655</v>
      </c>
      <c r="F296" s="5">
        <v>2249</v>
      </c>
      <c r="G296" s="5">
        <v>1289</v>
      </c>
      <c r="H296" s="5">
        <v>965</v>
      </c>
      <c r="I296" s="5" t="s">
        <v>13</v>
      </c>
      <c r="J296" s="34">
        <v>50.045198892599331</v>
      </c>
      <c r="K296" s="10">
        <v>5</v>
      </c>
      <c r="L296" s="11">
        <v>288.60000000000002</v>
      </c>
      <c r="M296" s="31">
        <v>10</v>
      </c>
      <c r="N296" s="5">
        <v>41.2</v>
      </c>
      <c r="O296" s="5">
        <v>81216</v>
      </c>
      <c r="P296" s="5" t="s">
        <v>48</v>
      </c>
      <c r="Q296" s="5">
        <v>2</v>
      </c>
      <c r="R296" s="5">
        <v>4</v>
      </c>
      <c r="S296" s="5">
        <v>900</v>
      </c>
      <c r="T296" s="5">
        <v>660</v>
      </c>
      <c r="U296" s="5">
        <v>860</v>
      </c>
      <c r="V296" s="5">
        <f t="shared" si="19"/>
        <v>6.6</v>
      </c>
      <c r="W296" s="5" t="s">
        <v>10</v>
      </c>
      <c r="X296" s="5">
        <v>58</v>
      </c>
      <c r="Y296" s="5">
        <v>1148.2</v>
      </c>
      <c r="Z296" s="5">
        <v>186</v>
      </c>
      <c r="AA296" s="5" t="s">
        <v>68</v>
      </c>
      <c r="AB296" s="5"/>
      <c r="AC296" s="5"/>
      <c r="AD296" s="5"/>
      <c r="AE296" s="5"/>
      <c r="AF296" s="5" t="s">
        <v>68</v>
      </c>
      <c r="AG296" s="5"/>
      <c r="AH296" s="12" t="s">
        <v>48</v>
      </c>
      <c r="AI296" s="12"/>
      <c r="AJ296" s="12"/>
      <c r="AK296" s="12"/>
      <c r="AL296" s="12"/>
      <c r="AM296" s="12" t="str">
        <f t="shared" si="18"/>
        <v>_</v>
      </c>
      <c r="AN296" s="12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</row>
    <row r="297" spans="1:240" s="2" customFormat="1" ht="30" customHeight="1">
      <c r="A297" s="5">
        <v>295</v>
      </c>
      <c r="B297" s="5" t="s">
        <v>68</v>
      </c>
      <c r="C297" s="5"/>
      <c r="D297" s="5"/>
      <c r="E297" s="5">
        <v>4655</v>
      </c>
      <c r="F297" s="5">
        <v>2249</v>
      </c>
      <c r="G297" s="5">
        <v>1289</v>
      </c>
      <c r="H297" s="5">
        <v>1038</v>
      </c>
      <c r="I297" s="5" t="s">
        <v>13</v>
      </c>
      <c r="J297" s="34">
        <v>53.391949892693454</v>
      </c>
      <c r="K297" s="10">
        <v>5</v>
      </c>
      <c r="L297" s="11">
        <v>307.89999999999998</v>
      </c>
      <c r="M297" s="31">
        <v>10</v>
      </c>
      <c r="N297" s="5">
        <v>51</v>
      </c>
      <c r="O297" s="5">
        <v>77870</v>
      </c>
      <c r="P297" s="5" t="s">
        <v>48</v>
      </c>
      <c r="Q297" s="5">
        <v>2</v>
      </c>
      <c r="R297" s="5">
        <v>4</v>
      </c>
      <c r="S297" s="5">
        <v>900</v>
      </c>
      <c r="T297" s="5">
        <v>660</v>
      </c>
      <c r="U297" s="5">
        <v>860</v>
      </c>
      <c r="V297" s="5">
        <f t="shared" si="19"/>
        <v>6.6</v>
      </c>
      <c r="W297" s="5" t="s">
        <v>10</v>
      </c>
      <c r="X297" s="5">
        <v>58</v>
      </c>
      <c r="Y297" s="5">
        <v>1435.2</v>
      </c>
      <c r="Z297" s="5">
        <v>233</v>
      </c>
      <c r="AA297" s="5" t="s">
        <v>68</v>
      </c>
      <c r="AB297" s="5"/>
      <c r="AC297" s="5"/>
      <c r="AD297" s="5"/>
      <c r="AE297" s="5"/>
      <c r="AF297" s="5" t="s">
        <v>68</v>
      </c>
      <c r="AG297" s="5"/>
      <c r="AH297" s="12" t="s">
        <v>48</v>
      </c>
      <c r="AI297" s="12"/>
      <c r="AJ297" s="12"/>
      <c r="AK297" s="12"/>
      <c r="AL297" s="12"/>
      <c r="AM297" s="12" t="str">
        <f t="shared" si="18"/>
        <v>_</v>
      </c>
      <c r="AN297" s="12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</row>
    <row r="298" spans="1:240" s="2" customFormat="1" ht="30" customHeight="1">
      <c r="A298" s="5">
        <v>296</v>
      </c>
      <c r="B298" s="5" t="s">
        <v>68</v>
      </c>
      <c r="C298" s="5"/>
      <c r="D298" s="5"/>
      <c r="E298" s="5">
        <v>6755</v>
      </c>
      <c r="F298" s="5">
        <v>2249</v>
      </c>
      <c r="G298" s="5">
        <v>1289</v>
      </c>
      <c r="H298" s="5">
        <v>1089</v>
      </c>
      <c r="I298" s="5" t="s">
        <v>13</v>
      </c>
      <c r="J298" s="34">
        <v>52.941092245012385</v>
      </c>
      <c r="K298" s="10">
        <v>5</v>
      </c>
      <c r="L298" s="11">
        <v>305.3</v>
      </c>
      <c r="M298" s="31">
        <v>10</v>
      </c>
      <c r="N298" s="5">
        <v>49.9</v>
      </c>
      <c r="O298" s="5">
        <v>132510</v>
      </c>
      <c r="P298" s="5" t="s">
        <v>48</v>
      </c>
      <c r="Q298" s="5">
        <v>2</v>
      </c>
      <c r="R298" s="5">
        <v>6</v>
      </c>
      <c r="S298" s="5">
        <v>900</v>
      </c>
      <c r="T298" s="5">
        <v>660</v>
      </c>
      <c r="U298" s="5">
        <v>860</v>
      </c>
      <c r="V298" s="5">
        <f t="shared" si="19"/>
        <v>9.8999999999999986</v>
      </c>
      <c r="W298" s="5" t="s">
        <v>10</v>
      </c>
      <c r="X298" s="5">
        <v>60</v>
      </c>
      <c r="Y298" s="5">
        <v>857.8</v>
      </c>
      <c r="Z298" s="5">
        <v>139</v>
      </c>
      <c r="AA298" s="5" t="s">
        <v>68</v>
      </c>
      <c r="AB298" s="5"/>
      <c r="AC298" s="5"/>
      <c r="AD298" s="5"/>
      <c r="AE298" s="5"/>
      <c r="AF298" s="5" t="s">
        <v>68</v>
      </c>
      <c r="AG298" s="5"/>
      <c r="AH298" s="12" t="s">
        <v>48</v>
      </c>
      <c r="AI298" s="12"/>
      <c r="AJ298" s="12"/>
      <c r="AK298" s="12"/>
      <c r="AL298" s="12"/>
      <c r="AM298" s="12" t="str">
        <f t="shared" si="18"/>
        <v>_</v>
      </c>
      <c r="AN298" s="12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</row>
    <row r="299" spans="1:240" s="2" customFormat="1" ht="30" customHeight="1">
      <c r="A299" s="5">
        <v>297</v>
      </c>
      <c r="B299" s="5" t="s">
        <v>68</v>
      </c>
      <c r="C299" s="5"/>
      <c r="D299" s="5"/>
      <c r="E299" s="5">
        <v>6755</v>
      </c>
      <c r="F299" s="5">
        <v>2249</v>
      </c>
      <c r="G299" s="5">
        <v>1289</v>
      </c>
      <c r="H299" s="5">
        <v>1110</v>
      </c>
      <c r="I299" s="5" t="s">
        <v>13</v>
      </c>
      <c r="J299" s="34">
        <v>66.32809624538892</v>
      </c>
      <c r="K299" s="10">
        <v>5</v>
      </c>
      <c r="L299" s="11">
        <v>382.5</v>
      </c>
      <c r="M299" s="31">
        <v>10</v>
      </c>
      <c r="N299" s="5">
        <v>38</v>
      </c>
      <c r="O299" s="5">
        <v>127034</v>
      </c>
      <c r="P299" s="5" t="s">
        <v>48</v>
      </c>
      <c r="Q299" s="5">
        <v>2</v>
      </c>
      <c r="R299" s="5">
        <v>6</v>
      </c>
      <c r="S299" s="5">
        <v>900</v>
      </c>
      <c r="T299" s="5">
        <v>660</v>
      </c>
      <c r="U299" s="5">
        <v>860</v>
      </c>
      <c r="V299" s="5">
        <f t="shared" si="19"/>
        <v>9.8999999999999986</v>
      </c>
      <c r="W299" s="5" t="s">
        <v>10</v>
      </c>
      <c r="X299" s="5">
        <v>60</v>
      </c>
      <c r="Y299" s="5">
        <v>1286.7</v>
      </c>
      <c r="Z299" s="5">
        <v>209</v>
      </c>
      <c r="AA299" s="5" t="s">
        <v>68</v>
      </c>
      <c r="AB299" s="5"/>
      <c r="AC299" s="5"/>
      <c r="AD299" s="5"/>
      <c r="AE299" s="5"/>
      <c r="AF299" s="5" t="s">
        <v>68</v>
      </c>
      <c r="AG299" s="5"/>
      <c r="AH299" s="12" t="s">
        <v>48</v>
      </c>
      <c r="AI299" s="12"/>
      <c r="AJ299" s="12"/>
      <c r="AK299" s="12"/>
      <c r="AL299" s="12"/>
      <c r="AM299" s="12" t="str">
        <f t="shared" si="18"/>
        <v>_</v>
      </c>
      <c r="AN299" s="12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</row>
    <row r="300" spans="1:240" s="2" customFormat="1" ht="30" customHeight="1">
      <c r="A300" s="5">
        <v>298</v>
      </c>
      <c r="B300" s="5" t="s">
        <v>68</v>
      </c>
      <c r="C300" s="5"/>
      <c r="D300" s="5"/>
      <c r="E300" s="5">
        <v>6755</v>
      </c>
      <c r="F300" s="5">
        <v>2249</v>
      </c>
      <c r="G300" s="5">
        <v>1289</v>
      </c>
      <c r="H300" s="5">
        <v>1207</v>
      </c>
      <c r="I300" s="5" t="s">
        <v>13</v>
      </c>
      <c r="J300" s="34">
        <v>75.535996665337024</v>
      </c>
      <c r="K300" s="10">
        <v>5</v>
      </c>
      <c r="L300" s="11">
        <v>435.6</v>
      </c>
      <c r="M300" s="31">
        <v>10</v>
      </c>
      <c r="N300" s="5">
        <v>64.400000000000006</v>
      </c>
      <c r="O300" s="5">
        <v>121686</v>
      </c>
      <c r="P300" s="5" t="s">
        <v>48</v>
      </c>
      <c r="Q300" s="5">
        <v>2</v>
      </c>
      <c r="R300" s="5">
        <v>6</v>
      </c>
      <c r="S300" s="5">
        <v>900</v>
      </c>
      <c r="T300" s="5">
        <v>660</v>
      </c>
      <c r="U300" s="5">
        <v>860</v>
      </c>
      <c r="V300" s="5">
        <f t="shared" si="19"/>
        <v>9.8999999999999986</v>
      </c>
      <c r="W300" s="5" t="s">
        <v>10</v>
      </c>
      <c r="X300" s="5">
        <v>60</v>
      </c>
      <c r="Y300" s="5">
        <v>1715.5</v>
      </c>
      <c r="Z300" s="5">
        <v>278</v>
      </c>
      <c r="AA300" s="5" t="s">
        <v>68</v>
      </c>
      <c r="AB300" s="5"/>
      <c r="AC300" s="5"/>
      <c r="AD300" s="5"/>
      <c r="AE300" s="5"/>
      <c r="AF300" s="5" t="s">
        <v>68</v>
      </c>
      <c r="AG300" s="5"/>
      <c r="AH300" s="12" t="s">
        <v>48</v>
      </c>
      <c r="AI300" s="12"/>
      <c r="AJ300" s="12"/>
      <c r="AK300" s="12"/>
      <c r="AL300" s="12"/>
      <c r="AM300" s="12" t="str">
        <f t="shared" si="18"/>
        <v>_</v>
      </c>
      <c r="AN300" s="12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</row>
    <row r="301" spans="1:240" s="2" customFormat="1" ht="30" customHeight="1">
      <c r="A301" s="5">
        <v>299</v>
      </c>
      <c r="B301" s="5" t="s">
        <v>68</v>
      </c>
      <c r="C301" s="5"/>
      <c r="D301" s="5"/>
      <c r="E301" s="5">
        <v>6755</v>
      </c>
      <c r="F301" s="5">
        <v>2249</v>
      </c>
      <c r="G301" s="5">
        <v>1289</v>
      </c>
      <c r="H301" s="5">
        <v>1296</v>
      </c>
      <c r="I301" s="5" t="s">
        <v>13</v>
      </c>
      <c r="J301" s="34">
        <v>79.871166354578136</v>
      </c>
      <c r="K301" s="10">
        <v>5</v>
      </c>
      <c r="L301" s="11">
        <v>460.6</v>
      </c>
      <c r="M301" s="31">
        <v>10</v>
      </c>
      <c r="N301" s="5">
        <v>47.5</v>
      </c>
      <c r="O301" s="5">
        <v>116644</v>
      </c>
      <c r="P301" s="5" t="s">
        <v>48</v>
      </c>
      <c r="Q301" s="5">
        <v>2</v>
      </c>
      <c r="R301" s="5">
        <v>6</v>
      </c>
      <c r="S301" s="5">
        <v>900</v>
      </c>
      <c r="T301" s="5">
        <v>660</v>
      </c>
      <c r="U301" s="5">
        <v>860</v>
      </c>
      <c r="V301" s="5">
        <f t="shared" si="19"/>
        <v>9.8999999999999986</v>
      </c>
      <c r="W301" s="5" t="s">
        <v>10</v>
      </c>
      <c r="X301" s="5">
        <v>60</v>
      </c>
      <c r="Y301" s="5">
        <v>2144.4</v>
      </c>
      <c r="Z301" s="5">
        <v>348</v>
      </c>
      <c r="AA301" s="5" t="s">
        <v>68</v>
      </c>
      <c r="AB301" s="5"/>
      <c r="AC301" s="5"/>
      <c r="AD301" s="5"/>
      <c r="AE301" s="5"/>
      <c r="AF301" s="5" t="s">
        <v>68</v>
      </c>
      <c r="AG301" s="5"/>
      <c r="AH301" s="12" t="s">
        <v>48</v>
      </c>
      <c r="AI301" s="12"/>
      <c r="AJ301" s="12"/>
      <c r="AK301" s="12"/>
      <c r="AL301" s="12"/>
      <c r="AM301" s="12" t="str">
        <f t="shared" si="18"/>
        <v>_</v>
      </c>
      <c r="AN301" s="12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</row>
    <row r="302" spans="1:240" s="2" customFormat="1" ht="30" customHeight="1">
      <c r="A302" s="5">
        <v>300</v>
      </c>
      <c r="B302" s="5" t="s">
        <v>68</v>
      </c>
      <c r="C302" s="5"/>
      <c r="D302" s="5"/>
      <c r="E302" s="5">
        <v>8855</v>
      </c>
      <c r="F302" s="5">
        <v>2249</v>
      </c>
      <c r="G302" s="5">
        <v>1289</v>
      </c>
      <c r="H302" s="5">
        <v>1349</v>
      </c>
      <c r="I302" s="5" t="s">
        <v>13</v>
      </c>
      <c r="J302" s="34">
        <v>69.986979463108398</v>
      </c>
      <c r="K302" s="10">
        <v>5</v>
      </c>
      <c r="L302" s="11">
        <v>403.6</v>
      </c>
      <c r="M302" s="31">
        <v>10</v>
      </c>
      <c r="N302" s="5">
        <v>36.700000000000003</v>
      </c>
      <c r="O302" s="5">
        <v>176632</v>
      </c>
      <c r="P302" s="5" t="s">
        <v>48</v>
      </c>
      <c r="Q302" s="5">
        <v>2</v>
      </c>
      <c r="R302" s="5">
        <v>8</v>
      </c>
      <c r="S302" s="5">
        <v>900</v>
      </c>
      <c r="T302" s="5">
        <v>660</v>
      </c>
      <c r="U302" s="5">
        <v>860</v>
      </c>
      <c r="V302" s="5">
        <f t="shared" si="19"/>
        <v>13.2</v>
      </c>
      <c r="W302" s="5" t="s">
        <v>10</v>
      </c>
      <c r="X302" s="5">
        <v>61</v>
      </c>
      <c r="Y302" s="5">
        <v>1141.4000000000001</v>
      </c>
      <c r="Z302" s="5">
        <v>185</v>
      </c>
      <c r="AA302" s="5" t="s">
        <v>68</v>
      </c>
      <c r="AB302" s="5"/>
      <c r="AC302" s="5"/>
      <c r="AD302" s="5"/>
      <c r="AE302" s="5"/>
      <c r="AF302" s="5" t="s">
        <v>68</v>
      </c>
      <c r="AG302" s="5"/>
      <c r="AH302" s="12" t="s">
        <v>48</v>
      </c>
      <c r="AI302" s="12"/>
      <c r="AJ302" s="12"/>
      <c r="AK302" s="12"/>
      <c r="AL302" s="12"/>
      <c r="AM302" s="12" t="str">
        <f t="shared" si="18"/>
        <v>_</v>
      </c>
      <c r="AN302" s="12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</row>
    <row r="303" spans="1:240" s="2" customFormat="1" ht="30" customHeight="1">
      <c r="A303" s="5">
        <v>301</v>
      </c>
      <c r="B303" s="5" t="s">
        <v>68</v>
      </c>
      <c r="C303" s="5"/>
      <c r="D303" s="5"/>
      <c r="E303" s="5">
        <v>8855</v>
      </c>
      <c r="F303" s="5">
        <v>2249</v>
      </c>
      <c r="G303" s="5">
        <v>1289</v>
      </c>
      <c r="H303" s="5">
        <v>1492</v>
      </c>
      <c r="I303" s="5" t="s">
        <v>13</v>
      </c>
      <c r="J303" s="34">
        <v>87.622449758941229</v>
      </c>
      <c r="K303" s="10">
        <v>5</v>
      </c>
      <c r="L303" s="11">
        <v>505.3</v>
      </c>
      <c r="M303" s="31">
        <v>10</v>
      </c>
      <c r="N303" s="5">
        <v>26.6</v>
      </c>
      <c r="O303" s="5">
        <v>169305</v>
      </c>
      <c r="P303" s="5" t="s">
        <v>48</v>
      </c>
      <c r="Q303" s="5">
        <v>2</v>
      </c>
      <c r="R303" s="5">
        <v>8</v>
      </c>
      <c r="S303" s="5">
        <v>900</v>
      </c>
      <c r="T303" s="5">
        <v>660</v>
      </c>
      <c r="U303" s="5">
        <v>860</v>
      </c>
      <c r="V303" s="5">
        <f t="shared" si="19"/>
        <v>13.2</v>
      </c>
      <c r="W303" s="5" t="s">
        <v>10</v>
      </c>
      <c r="X303" s="5">
        <v>61</v>
      </c>
      <c r="Y303" s="5">
        <v>1712.1</v>
      </c>
      <c r="Z303" s="5">
        <v>278</v>
      </c>
      <c r="AA303" s="5" t="s">
        <v>68</v>
      </c>
      <c r="AB303" s="5"/>
      <c r="AC303" s="5"/>
      <c r="AD303" s="5"/>
      <c r="AE303" s="5"/>
      <c r="AF303" s="5" t="s">
        <v>68</v>
      </c>
      <c r="AG303" s="5"/>
      <c r="AH303" s="12" t="s">
        <v>48</v>
      </c>
      <c r="AI303" s="12"/>
      <c r="AJ303" s="12"/>
      <c r="AK303" s="12"/>
      <c r="AL303" s="12"/>
      <c r="AM303" s="12" t="str">
        <f t="shared" si="18"/>
        <v>_</v>
      </c>
      <c r="AN303" s="12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</row>
    <row r="304" spans="1:240" s="2" customFormat="1" ht="30" customHeight="1">
      <c r="A304" s="5">
        <v>302</v>
      </c>
      <c r="B304" s="5" t="s">
        <v>68</v>
      </c>
      <c r="C304" s="5"/>
      <c r="D304" s="5"/>
      <c r="E304" s="5">
        <v>8855</v>
      </c>
      <c r="F304" s="5">
        <v>2249</v>
      </c>
      <c r="G304" s="5">
        <v>1289</v>
      </c>
      <c r="H304" s="5">
        <v>1587</v>
      </c>
      <c r="I304" s="5" t="s">
        <v>13</v>
      </c>
      <c r="J304" s="34">
        <v>100.64529950542151</v>
      </c>
      <c r="K304" s="10">
        <v>5</v>
      </c>
      <c r="L304" s="11">
        <v>580.4</v>
      </c>
      <c r="M304" s="31">
        <v>10</v>
      </c>
      <c r="N304" s="5">
        <v>65</v>
      </c>
      <c r="O304" s="5">
        <v>162155</v>
      </c>
      <c r="P304" s="5" t="s">
        <v>48</v>
      </c>
      <c r="Q304" s="5">
        <v>2</v>
      </c>
      <c r="R304" s="5">
        <v>8</v>
      </c>
      <c r="S304" s="5">
        <v>900</v>
      </c>
      <c r="T304" s="5">
        <v>660</v>
      </c>
      <c r="U304" s="5">
        <v>860</v>
      </c>
      <c r="V304" s="5">
        <f t="shared" si="19"/>
        <v>13.2</v>
      </c>
      <c r="W304" s="5" t="s">
        <v>10</v>
      </c>
      <c r="X304" s="5">
        <v>61</v>
      </c>
      <c r="Y304" s="5">
        <v>2282.8000000000002</v>
      </c>
      <c r="Z304" s="5">
        <v>370</v>
      </c>
      <c r="AA304" s="5" t="s">
        <v>68</v>
      </c>
      <c r="AB304" s="5"/>
      <c r="AC304" s="5"/>
      <c r="AD304" s="5"/>
      <c r="AE304" s="5"/>
      <c r="AF304" s="5" t="s">
        <v>68</v>
      </c>
      <c r="AG304" s="5"/>
      <c r="AH304" s="12" t="s">
        <v>48</v>
      </c>
      <c r="AI304" s="12"/>
      <c r="AJ304" s="12"/>
      <c r="AK304" s="12"/>
      <c r="AL304" s="12"/>
      <c r="AM304" s="12" t="str">
        <f t="shared" si="18"/>
        <v>_</v>
      </c>
      <c r="AN304" s="12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</row>
    <row r="305" spans="1:240" s="2" customFormat="1" ht="30" customHeight="1">
      <c r="A305" s="5">
        <v>303</v>
      </c>
      <c r="B305" s="5" t="s">
        <v>68</v>
      </c>
      <c r="C305" s="5"/>
      <c r="D305" s="5"/>
      <c r="E305" s="5">
        <v>8855</v>
      </c>
      <c r="F305" s="5">
        <v>2249</v>
      </c>
      <c r="G305" s="5">
        <v>1289</v>
      </c>
      <c r="H305" s="5">
        <v>1705</v>
      </c>
      <c r="I305" s="5" t="s">
        <v>13</v>
      </c>
      <c r="J305" s="34">
        <v>106.33304213770583</v>
      </c>
      <c r="K305" s="10">
        <v>5</v>
      </c>
      <c r="L305" s="11">
        <v>613.20000000000005</v>
      </c>
      <c r="M305" s="31">
        <v>10</v>
      </c>
      <c r="N305" s="5">
        <v>45.8</v>
      </c>
      <c r="O305" s="5">
        <v>155417</v>
      </c>
      <c r="P305" s="5" t="s">
        <v>48</v>
      </c>
      <c r="Q305" s="5">
        <v>2</v>
      </c>
      <c r="R305" s="5">
        <v>8</v>
      </c>
      <c r="S305" s="5">
        <v>900</v>
      </c>
      <c r="T305" s="5">
        <v>660</v>
      </c>
      <c r="U305" s="5">
        <v>860</v>
      </c>
      <c r="V305" s="5">
        <f t="shared" si="19"/>
        <v>13.2</v>
      </c>
      <c r="W305" s="5" t="s">
        <v>10</v>
      </c>
      <c r="X305" s="5">
        <v>61</v>
      </c>
      <c r="Y305" s="5">
        <v>2853.5</v>
      </c>
      <c r="Z305" s="5">
        <v>463</v>
      </c>
      <c r="AA305" s="5" t="s">
        <v>68</v>
      </c>
      <c r="AB305" s="5"/>
      <c r="AC305" s="5"/>
      <c r="AD305" s="5"/>
      <c r="AE305" s="5"/>
      <c r="AF305" s="5" t="s">
        <v>68</v>
      </c>
      <c r="AG305" s="5"/>
      <c r="AH305" s="12" t="s">
        <v>48</v>
      </c>
      <c r="AI305" s="12"/>
      <c r="AJ305" s="12"/>
      <c r="AK305" s="12"/>
      <c r="AL305" s="12"/>
      <c r="AM305" s="12" t="str">
        <f t="shared" si="18"/>
        <v>_</v>
      </c>
      <c r="AN305" s="12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</row>
    <row r="306" spans="1:240" s="2" customFormat="1" ht="30" customHeight="1">
      <c r="A306" s="5">
        <v>304</v>
      </c>
      <c r="B306" s="5" t="s">
        <v>68</v>
      </c>
      <c r="C306" s="5"/>
      <c r="D306" s="5"/>
      <c r="E306" s="5">
        <v>10955</v>
      </c>
      <c r="F306" s="5">
        <v>2249</v>
      </c>
      <c r="G306" s="5">
        <v>1289</v>
      </c>
      <c r="H306" s="5">
        <v>1686</v>
      </c>
      <c r="I306" s="5" t="s">
        <v>13</v>
      </c>
      <c r="J306" s="34">
        <v>90.17152953621499</v>
      </c>
      <c r="K306" s="10">
        <v>5</v>
      </c>
      <c r="L306" s="11">
        <v>520</v>
      </c>
      <c r="M306" s="31">
        <v>10</v>
      </c>
      <c r="N306" s="5">
        <v>71.400000000000006</v>
      </c>
      <c r="O306" s="5">
        <v>226800</v>
      </c>
      <c r="P306" s="5" t="s">
        <v>48</v>
      </c>
      <c r="Q306" s="5">
        <v>2</v>
      </c>
      <c r="R306" s="5">
        <v>10</v>
      </c>
      <c r="S306" s="5">
        <v>900</v>
      </c>
      <c r="T306" s="5">
        <v>660</v>
      </c>
      <c r="U306" s="5">
        <v>860</v>
      </c>
      <c r="V306" s="5">
        <f t="shared" si="19"/>
        <v>16.5</v>
      </c>
      <c r="W306" s="5" t="s">
        <v>10</v>
      </c>
      <c r="X306" s="5">
        <v>62</v>
      </c>
      <c r="Y306" s="5">
        <v>1425.1</v>
      </c>
      <c r="Z306" s="5">
        <v>231</v>
      </c>
      <c r="AA306" s="5" t="s">
        <v>68</v>
      </c>
      <c r="AB306" s="5"/>
      <c r="AC306" s="5"/>
      <c r="AD306" s="5"/>
      <c r="AE306" s="5"/>
      <c r="AF306" s="5" t="s">
        <v>68</v>
      </c>
      <c r="AG306" s="5"/>
      <c r="AH306" s="12" t="s">
        <v>48</v>
      </c>
      <c r="AI306" s="12"/>
      <c r="AJ306" s="12"/>
      <c r="AK306" s="12"/>
      <c r="AL306" s="12"/>
      <c r="AM306" s="12" t="str">
        <f t="shared" si="18"/>
        <v>_</v>
      </c>
      <c r="AN306" s="12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</row>
    <row r="307" spans="1:240" s="2" customFormat="1" ht="30" customHeight="1">
      <c r="A307" s="5">
        <v>305</v>
      </c>
      <c r="B307" s="5" t="s">
        <v>68</v>
      </c>
      <c r="C307" s="5"/>
      <c r="D307" s="5"/>
      <c r="E307" s="5">
        <v>10955</v>
      </c>
      <c r="F307" s="5">
        <v>2249</v>
      </c>
      <c r="G307" s="5">
        <v>1289</v>
      </c>
      <c r="H307" s="5">
        <v>1961</v>
      </c>
      <c r="I307" s="5" t="s">
        <v>13</v>
      </c>
      <c r="J307" s="34">
        <v>111.15375083214195</v>
      </c>
      <c r="K307" s="10">
        <v>5</v>
      </c>
      <c r="L307" s="11">
        <v>641</v>
      </c>
      <c r="M307" s="31">
        <v>10</v>
      </c>
      <c r="N307" s="5">
        <v>50.7</v>
      </c>
      <c r="O307" s="5">
        <v>211577</v>
      </c>
      <c r="P307" s="5" t="s">
        <v>48</v>
      </c>
      <c r="Q307" s="5">
        <v>2</v>
      </c>
      <c r="R307" s="5">
        <v>10</v>
      </c>
      <c r="S307" s="5">
        <v>900</v>
      </c>
      <c r="T307" s="5">
        <v>660</v>
      </c>
      <c r="U307" s="5">
        <v>860</v>
      </c>
      <c r="V307" s="5">
        <f t="shared" si="19"/>
        <v>16.5</v>
      </c>
      <c r="W307" s="5" t="s">
        <v>10</v>
      </c>
      <c r="X307" s="5">
        <v>62</v>
      </c>
      <c r="Y307" s="5">
        <v>2137.6</v>
      </c>
      <c r="Z307" s="5">
        <v>347</v>
      </c>
      <c r="AA307" s="5" t="s">
        <v>68</v>
      </c>
      <c r="AB307" s="5"/>
      <c r="AC307" s="5"/>
      <c r="AD307" s="5"/>
      <c r="AE307" s="5"/>
      <c r="AF307" s="5" t="s">
        <v>68</v>
      </c>
      <c r="AG307" s="5"/>
      <c r="AH307" s="12" t="s">
        <v>48</v>
      </c>
      <c r="AI307" s="12"/>
      <c r="AJ307" s="12"/>
      <c r="AK307" s="12"/>
      <c r="AL307" s="12"/>
      <c r="AM307" s="12"/>
      <c r="AN307" s="12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</row>
    <row r="308" spans="1:240" s="2" customFormat="1" ht="30" customHeight="1">
      <c r="A308" s="5">
        <v>306</v>
      </c>
      <c r="B308" s="5" t="s">
        <v>68</v>
      </c>
      <c r="C308" s="5"/>
      <c r="D308" s="5"/>
      <c r="E308" s="5">
        <v>10955</v>
      </c>
      <c r="F308" s="5">
        <v>2249</v>
      </c>
      <c r="G308" s="5">
        <v>1289</v>
      </c>
      <c r="H308" s="5">
        <v>2158</v>
      </c>
      <c r="I308" s="5" t="s">
        <v>13</v>
      </c>
      <c r="J308" s="34">
        <v>124.43671075997668</v>
      </c>
      <c r="K308" s="10">
        <v>5</v>
      </c>
      <c r="L308" s="11">
        <v>717.6</v>
      </c>
      <c r="M308" s="31">
        <v>10</v>
      </c>
      <c r="N308" s="5">
        <v>37</v>
      </c>
      <c r="O308" s="5">
        <v>202624</v>
      </c>
      <c r="P308" s="5" t="s">
        <v>48</v>
      </c>
      <c r="Q308" s="5">
        <v>2</v>
      </c>
      <c r="R308" s="5">
        <v>10</v>
      </c>
      <c r="S308" s="5">
        <v>900</v>
      </c>
      <c r="T308" s="5">
        <v>660</v>
      </c>
      <c r="U308" s="5">
        <v>860</v>
      </c>
      <c r="V308" s="5">
        <f t="shared" si="19"/>
        <v>16.5</v>
      </c>
      <c r="W308" s="5" t="s">
        <v>10</v>
      </c>
      <c r="X308" s="5">
        <v>62</v>
      </c>
      <c r="Y308" s="5">
        <v>2850.2</v>
      </c>
      <c r="Z308" s="5">
        <v>462</v>
      </c>
      <c r="AA308" s="5" t="s">
        <v>68</v>
      </c>
      <c r="AB308" s="5"/>
      <c r="AC308" s="5"/>
      <c r="AD308" s="5"/>
      <c r="AE308" s="5"/>
      <c r="AF308" s="5" t="s">
        <v>68</v>
      </c>
      <c r="AG308" s="5"/>
      <c r="AH308" s="12" t="s">
        <v>48</v>
      </c>
      <c r="AI308" s="12"/>
      <c r="AJ308" s="12"/>
      <c r="AK308" s="12"/>
      <c r="AL308" s="12"/>
      <c r="AM308" s="12"/>
      <c r="AN308" s="12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</row>
    <row r="309" spans="1:240" s="2" customFormat="1" ht="30" customHeight="1">
      <c r="A309" s="5">
        <v>307</v>
      </c>
      <c r="B309" s="5" t="s">
        <v>68</v>
      </c>
      <c r="C309" s="5"/>
      <c r="D309" s="5"/>
      <c r="E309" s="5">
        <v>10955</v>
      </c>
      <c r="F309" s="5">
        <v>2249</v>
      </c>
      <c r="G309" s="5">
        <v>1289</v>
      </c>
      <c r="H309" s="5">
        <v>2318</v>
      </c>
      <c r="I309" s="5" t="s">
        <v>13</v>
      </c>
      <c r="J309" s="34">
        <v>131.75447719541566</v>
      </c>
      <c r="K309" s="10">
        <v>5</v>
      </c>
      <c r="L309" s="11">
        <v>759.8</v>
      </c>
      <c r="M309" s="31">
        <v>10</v>
      </c>
      <c r="N309" s="5">
        <v>27.5</v>
      </c>
      <c r="O309" s="5">
        <v>194190</v>
      </c>
      <c r="P309" s="5" t="s">
        <v>48</v>
      </c>
      <c r="Q309" s="5">
        <v>2</v>
      </c>
      <c r="R309" s="5">
        <v>10</v>
      </c>
      <c r="S309" s="5">
        <v>900</v>
      </c>
      <c r="T309" s="5">
        <v>660</v>
      </c>
      <c r="U309" s="5">
        <v>860</v>
      </c>
      <c r="V309" s="5">
        <f t="shared" si="19"/>
        <v>16.5</v>
      </c>
      <c r="W309" s="5" t="s">
        <v>10</v>
      </c>
      <c r="X309" s="5">
        <v>62</v>
      </c>
      <c r="Y309" s="5">
        <v>3562.7</v>
      </c>
      <c r="Z309" s="5">
        <v>578</v>
      </c>
      <c r="AA309" s="5" t="s">
        <v>68</v>
      </c>
      <c r="AB309" s="5"/>
      <c r="AC309" s="5"/>
      <c r="AD309" s="5"/>
      <c r="AE309" s="5"/>
      <c r="AF309" s="5" t="s">
        <v>68</v>
      </c>
      <c r="AG309" s="5"/>
      <c r="AH309" s="12" t="s">
        <v>48</v>
      </c>
      <c r="AI309" s="12"/>
      <c r="AJ309" s="12"/>
      <c r="AK309" s="12"/>
      <c r="AL309" s="12"/>
      <c r="AM309" s="12"/>
      <c r="AN309" s="12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</row>
    <row r="310" spans="1:240" s="2" customFormat="1" ht="30" customHeight="1">
      <c r="A310" s="5">
        <v>308</v>
      </c>
      <c r="B310" s="5" t="s">
        <v>68</v>
      </c>
      <c r="C310" s="5"/>
      <c r="D310" s="5"/>
      <c r="E310" s="5">
        <v>4655</v>
      </c>
      <c r="F310" s="5">
        <v>2249</v>
      </c>
      <c r="G310" s="5">
        <v>1278</v>
      </c>
      <c r="H310" s="5">
        <v>987</v>
      </c>
      <c r="I310" s="5" t="s">
        <v>13</v>
      </c>
      <c r="J310" s="34">
        <v>29.635219995652196</v>
      </c>
      <c r="K310" s="10">
        <v>5</v>
      </c>
      <c r="L310" s="11">
        <v>170.9</v>
      </c>
      <c r="M310" s="31">
        <v>10</v>
      </c>
      <c r="N310" s="5">
        <v>55.6</v>
      </c>
      <c r="O310" s="5">
        <v>65708</v>
      </c>
      <c r="P310" s="5" t="s">
        <v>48</v>
      </c>
      <c r="Q310" s="5">
        <v>2</v>
      </c>
      <c r="R310" s="5">
        <v>4</v>
      </c>
      <c r="S310" s="5">
        <v>1000</v>
      </c>
      <c r="T310" s="5">
        <v>250</v>
      </c>
      <c r="U310" s="5">
        <v>380</v>
      </c>
      <c r="V310" s="5">
        <f t="shared" ref="V310:V317" si="20">0.67*R310</f>
        <v>2.68</v>
      </c>
      <c r="W310" s="5" t="s">
        <v>10</v>
      </c>
      <c r="X310" s="5">
        <v>43</v>
      </c>
      <c r="Y310" s="5">
        <v>574.1</v>
      </c>
      <c r="Z310" s="5">
        <v>93</v>
      </c>
      <c r="AA310" s="5" t="s">
        <v>68</v>
      </c>
      <c r="AB310" s="5"/>
      <c r="AC310" s="5"/>
      <c r="AD310" s="5"/>
      <c r="AE310" s="5"/>
      <c r="AF310" s="5" t="s">
        <v>68</v>
      </c>
      <c r="AG310" s="5"/>
      <c r="AH310" s="12" t="s">
        <v>48</v>
      </c>
      <c r="AI310" s="12"/>
      <c r="AJ310" s="12"/>
      <c r="AK310" s="12"/>
      <c r="AL310" s="12"/>
      <c r="AM310" s="12"/>
      <c r="AN310" s="12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</row>
    <row r="311" spans="1:240" s="2" customFormat="1" ht="30" customHeight="1">
      <c r="A311" s="5">
        <v>309</v>
      </c>
      <c r="B311" s="5" t="s">
        <v>68</v>
      </c>
      <c r="C311" s="5"/>
      <c r="D311" s="5"/>
      <c r="E311" s="5">
        <v>4655</v>
      </c>
      <c r="F311" s="5">
        <v>2249</v>
      </c>
      <c r="G311" s="5">
        <v>1278</v>
      </c>
      <c r="H311" s="5">
        <v>903</v>
      </c>
      <c r="I311" s="5" t="s">
        <v>13</v>
      </c>
      <c r="J311" s="34">
        <v>34.698698192685804</v>
      </c>
      <c r="K311" s="10">
        <v>5</v>
      </c>
      <c r="L311" s="11">
        <v>200.1</v>
      </c>
      <c r="M311" s="31">
        <v>10</v>
      </c>
      <c r="N311" s="5">
        <v>56.7</v>
      </c>
      <c r="O311" s="5">
        <v>58675</v>
      </c>
      <c r="P311" s="5" t="s">
        <v>48</v>
      </c>
      <c r="Q311" s="5">
        <v>2</v>
      </c>
      <c r="R311" s="5">
        <v>4</v>
      </c>
      <c r="S311" s="5">
        <v>1000</v>
      </c>
      <c r="T311" s="5">
        <v>250</v>
      </c>
      <c r="U311" s="5">
        <v>380</v>
      </c>
      <c r="V311" s="5">
        <f t="shared" si="20"/>
        <v>2.68</v>
      </c>
      <c r="W311" s="5" t="s">
        <v>10</v>
      </c>
      <c r="X311" s="5">
        <v>43</v>
      </c>
      <c r="Y311" s="5">
        <v>861.1</v>
      </c>
      <c r="Z311" s="5">
        <v>140</v>
      </c>
      <c r="AA311" s="5" t="s">
        <v>68</v>
      </c>
      <c r="AB311" s="5"/>
      <c r="AC311" s="5"/>
      <c r="AD311" s="5"/>
      <c r="AE311" s="5"/>
      <c r="AF311" s="5" t="s">
        <v>68</v>
      </c>
      <c r="AG311" s="5"/>
      <c r="AH311" s="12" t="s">
        <v>48</v>
      </c>
      <c r="AI311" s="12"/>
      <c r="AJ311" s="12"/>
      <c r="AK311" s="12"/>
      <c r="AL311" s="12"/>
      <c r="AM311" s="12"/>
      <c r="AN311" s="12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</row>
    <row r="312" spans="1:240" s="2" customFormat="1" ht="30" customHeight="1">
      <c r="A312" s="5">
        <v>310</v>
      </c>
      <c r="B312" s="5" t="s">
        <v>68</v>
      </c>
      <c r="C312" s="5"/>
      <c r="D312" s="5"/>
      <c r="E312" s="5">
        <v>6755</v>
      </c>
      <c r="F312" s="5">
        <v>2249</v>
      </c>
      <c r="G312" s="5">
        <v>1278</v>
      </c>
      <c r="H312" s="5">
        <v>1089</v>
      </c>
      <c r="I312" s="5" t="s">
        <v>13</v>
      </c>
      <c r="J312" s="34">
        <v>43.92393929139088</v>
      </c>
      <c r="K312" s="10">
        <v>5</v>
      </c>
      <c r="L312" s="11">
        <v>253.3</v>
      </c>
      <c r="M312" s="31">
        <v>10</v>
      </c>
      <c r="N312" s="5">
        <v>35.9</v>
      </c>
      <c r="O312" s="5">
        <v>98422</v>
      </c>
      <c r="P312" s="5" t="s">
        <v>48</v>
      </c>
      <c r="Q312" s="5">
        <v>2</v>
      </c>
      <c r="R312" s="5">
        <v>6</v>
      </c>
      <c r="S312" s="5">
        <v>1000</v>
      </c>
      <c r="T312" s="5">
        <v>250</v>
      </c>
      <c r="U312" s="5">
        <v>380</v>
      </c>
      <c r="V312" s="5">
        <f t="shared" si="20"/>
        <v>4.0200000000000005</v>
      </c>
      <c r="W312" s="5" t="s">
        <v>10</v>
      </c>
      <c r="X312" s="5">
        <v>45</v>
      </c>
      <c r="Y312" s="5">
        <v>857.8</v>
      </c>
      <c r="Z312" s="5">
        <v>139</v>
      </c>
      <c r="AA312" s="5" t="s">
        <v>68</v>
      </c>
      <c r="AB312" s="5"/>
      <c r="AC312" s="5"/>
      <c r="AD312" s="5"/>
      <c r="AE312" s="5"/>
      <c r="AF312" s="5" t="s">
        <v>68</v>
      </c>
      <c r="AG312" s="5"/>
      <c r="AH312" s="12" t="s">
        <v>48</v>
      </c>
      <c r="AI312" s="12"/>
      <c r="AJ312" s="12"/>
      <c r="AK312" s="12"/>
      <c r="AL312" s="12"/>
      <c r="AM312" s="12"/>
      <c r="AN312" s="12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</row>
    <row r="313" spans="1:240" s="2" customFormat="1" ht="30" customHeight="1">
      <c r="A313" s="5">
        <v>311</v>
      </c>
      <c r="B313" s="5" t="s">
        <v>68</v>
      </c>
      <c r="C313" s="5"/>
      <c r="D313" s="5"/>
      <c r="E313" s="5">
        <v>6755</v>
      </c>
      <c r="F313" s="5">
        <v>2249</v>
      </c>
      <c r="G313" s="5">
        <v>1278</v>
      </c>
      <c r="H313" s="5">
        <v>1110</v>
      </c>
      <c r="I313" s="5" t="s">
        <v>13</v>
      </c>
      <c r="J313" s="34">
        <v>51.883310840837545</v>
      </c>
      <c r="K313" s="10">
        <v>5</v>
      </c>
      <c r="L313" s="11">
        <v>299.2</v>
      </c>
      <c r="M313" s="31">
        <v>10</v>
      </c>
      <c r="N313" s="5">
        <v>54.9</v>
      </c>
      <c r="O313" s="5">
        <v>87810</v>
      </c>
      <c r="P313" s="5" t="s">
        <v>48</v>
      </c>
      <c r="Q313" s="5">
        <v>2</v>
      </c>
      <c r="R313" s="5">
        <v>6</v>
      </c>
      <c r="S313" s="5">
        <v>1000</v>
      </c>
      <c r="T313" s="5">
        <v>250</v>
      </c>
      <c r="U313" s="5">
        <v>380</v>
      </c>
      <c r="V313" s="5">
        <f t="shared" si="20"/>
        <v>4.0200000000000005</v>
      </c>
      <c r="W313" s="5" t="s">
        <v>10</v>
      </c>
      <c r="X313" s="5">
        <v>45</v>
      </c>
      <c r="Y313" s="5">
        <v>1286.7</v>
      </c>
      <c r="Z313" s="5">
        <v>209</v>
      </c>
      <c r="AA313" s="5" t="s">
        <v>68</v>
      </c>
      <c r="AB313" s="5"/>
      <c r="AC313" s="5"/>
      <c r="AD313" s="5"/>
      <c r="AE313" s="5"/>
      <c r="AF313" s="5" t="s">
        <v>68</v>
      </c>
      <c r="AG313" s="5"/>
      <c r="AH313" s="12" t="s">
        <v>48</v>
      </c>
      <c r="AI313" s="12"/>
      <c r="AJ313" s="12"/>
      <c r="AK313" s="12"/>
      <c r="AL313" s="12"/>
      <c r="AM313" s="12"/>
      <c r="AN313" s="12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</row>
    <row r="314" spans="1:240" s="2" customFormat="1" ht="30" customHeight="1">
      <c r="A314" s="5">
        <v>312</v>
      </c>
      <c r="B314" s="5" t="s">
        <v>68</v>
      </c>
      <c r="C314" s="5"/>
      <c r="D314" s="5"/>
      <c r="E314" s="5">
        <v>8855</v>
      </c>
      <c r="F314" s="5">
        <v>2249</v>
      </c>
      <c r="G314" s="5">
        <v>1278</v>
      </c>
      <c r="H314" s="5">
        <v>1300</v>
      </c>
      <c r="I314" s="5" t="s">
        <v>13</v>
      </c>
      <c r="J314" s="34">
        <v>58.073933157073846</v>
      </c>
      <c r="K314" s="10">
        <v>5</v>
      </c>
      <c r="L314" s="11">
        <v>334.9</v>
      </c>
      <c r="M314" s="31">
        <v>10</v>
      </c>
      <c r="N314" s="5">
        <v>26.4</v>
      </c>
      <c r="O314" s="5">
        <v>131134</v>
      </c>
      <c r="P314" s="5" t="s">
        <v>48</v>
      </c>
      <c r="Q314" s="5">
        <v>2</v>
      </c>
      <c r="R314" s="5">
        <v>8</v>
      </c>
      <c r="S314" s="5">
        <v>1000</v>
      </c>
      <c r="T314" s="5">
        <v>250</v>
      </c>
      <c r="U314" s="5">
        <v>380</v>
      </c>
      <c r="V314" s="5">
        <f t="shared" si="20"/>
        <v>5.36</v>
      </c>
      <c r="W314" s="5" t="s">
        <v>10</v>
      </c>
      <c r="X314" s="5">
        <v>46</v>
      </c>
      <c r="Y314" s="5">
        <v>1141.4000000000001</v>
      </c>
      <c r="Z314" s="5">
        <v>185</v>
      </c>
      <c r="AA314" s="5" t="s">
        <v>68</v>
      </c>
      <c r="AB314" s="5"/>
      <c r="AC314" s="5"/>
      <c r="AD314" s="5"/>
      <c r="AE314" s="5"/>
      <c r="AF314" s="5" t="s">
        <v>68</v>
      </c>
      <c r="AG314" s="5"/>
      <c r="AH314" s="12" t="s">
        <v>48</v>
      </c>
      <c r="AI314" s="12"/>
      <c r="AJ314" s="12"/>
      <c r="AK314" s="12"/>
      <c r="AL314" s="12"/>
      <c r="AM314" s="12"/>
      <c r="AN314" s="12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</row>
    <row r="315" spans="1:240" s="2" customFormat="1" ht="30" customHeight="1">
      <c r="A315" s="5">
        <v>313</v>
      </c>
      <c r="B315" s="5" t="s">
        <v>68</v>
      </c>
      <c r="C315" s="5"/>
      <c r="D315" s="5"/>
      <c r="E315" s="5">
        <v>8855</v>
      </c>
      <c r="F315" s="5">
        <v>2249</v>
      </c>
      <c r="G315" s="5">
        <v>1278</v>
      </c>
      <c r="H315" s="5">
        <v>1438</v>
      </c>
      <c r="I315" s="5" t="s">
        <v>13</v>
      </c>
      <c r="J315" s="34">
        <v>69.06792348898928</v>
      </c>
      <c r="K315" s="10">
        <v>5</v>
      </c>
      <c r="L315" s="11">
        <v>398.3</v>
      </c>
      <c r="M315" s="31">
        <v>10</v>
      </c>
      <c r="N315" s="5">
        <v>54</v>
      </c>
      <c r="O315" s="5">
        <v>116944</v>
      </c>
      <c r="P315" s="5" t="s">
        <v>48</v>
      </c>
      <c r="Q315" s="5">
        <v>2</v>
      </c>
      <c r="R315" s="5">
        <v>8</v>
      </c>
      <c r="S315" s="5">
        <v>1000</v>
      </c>
      <c r="T315" s="5">
        <v>250</v>
      </c>
      <c r="U315" s="5">
        <v>380</v>
      </c>
      <c r="V315" s="5">
        <f t="shared" si="20"/>
        <v>5.36</v>
      </c>
      <c r="W315" s="5" t="s">
        <v>10</v>
      </c>
      <c r="X315" s="5">
        <v>46</v>
      </c>
      <c r="Y315" s="5">
        <v>1712.1</v>
      </c>
      <c r="Z315" s="5">
        <v>278</v>
      </c>
      <c r="AA315" s="5" t="s">
        <v>68</v>
      </c>
      <c r="AB315" s="5"/>
      <c r="AC315" s="5"/>
      <c r="AD315" s="5"/>
      <c r="AE315" s="5"/>
      <c r="AF315" s="5" t="s">
        <v>68</v>
      </c>
      <c r="AG315" s="5"/>
      <c r="AH315" s="12" t="s">
        <v>48</v>
      </c>
      <c r="AI315" s="12"/>
      <c r="AJ315" s="12"/>
      <c r="AK315" s="12"/>
      <c r="AL315" s="12"/>
      <c r="AM315" s="12"/>
      <c r="AN315" s="12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</row>
    <row r="316" spans="1:240" s="2" customFormat="1" ht="30" customHeight="1">
      <c r="A316" s="5">
        <v>314</v>
      </c>
      <c r="B316" s="5" t="s">
        <v>68</v>
      </c>
      <c r="C316" s="5"/>
      <c r="D316" s="5"/>
      <c r="E316" s="5">
        <v>10955</v>
      </c>
      <c r="F316" s="5">
        <v>2249</v>
      </c>
      <c r="G316" s="5">
        <v>1278</v>
      </c>
      <c r="H316" s="5">
        <v>1625</v>
      </c>
      <c r="I316" s="5" t="s">
        <v>13</v>
      </c>
      <c r="J316" s="34">
        <v>73.611181323313971</v>
      </c>
      <c r="K316" s="10">
        <v>5</v>
      </c>
      <c r="L316" s="11">
        <v>424.5</v>
      </c>
      <c r="M316" s="31">
        <v>10</v>
      </c>
      <c r="N316" s="5">
        <v>49.8</v>
      </c>
      <c r="O316" s="5">
        <v>163847</v>
      </c>
      <c r="P316" s="5" t="s">
        <v>48</v>
      </c>
      <c r="Q316" s="5">
        <v>2</v>
      </c>
      <c r="R316" s="5">
        <v>10</v>
      </c>
      <c r="S316" s="5">
        <v>1000</v>
      </c>
      <c r="T316" s="5">
        <v>250</v>
      </c>
      <c r="U316" s="5">
        <v>380</v>
      </c>
      <c r="V316" s="5">
        <f t="shared" si="20"/>
        <v>6.7</v>
      </c>
      <c r="W316" s="5" t="s">
        <v>10</v>
      </c>
      <c r="X316" s="5">
        <v>47</v>
      </c>
      <c r="Y316" s="5">
        <v>1425.1</v>
      </c>
      <c r="Z316" s="5">
        <v>231</v>
      </c>
      <c r="AA316" s="5" t="s">
        <v>68</v>
      </c>
      <c r="AB316" s="5"/>
      <c r="AC316" s="5"/>
      <c r="AD316" s="5"/>
      <c r="AE316" s="5"/>
      <c r="AF316" s="5" t="s">
        <v>68</v>
      </c>
      <c r="AG316" s="5"/>
      <c r="AH316" s="12" t="s">
        <v>48</v>
      </c>
      <c r="AI316" s="12"/>
      <c r="AJ316" s="12"/>
      <c r="AK316" s="12"/>
      <c r="AL316" s="12"/>
      <c r="AM316" s="12"/>
      <c r="AN316" s="12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</row>
    <row r="317" spans="1:240" s="2" customFormat="1" ht="30" customHeight="1">
      <c r="A317" s="5">
        <v>315</v>
      </c>
      <c r="B317" s="5" t="s">
        <v>68</v>
      </c>
      <c r="C317" s="5"/>
      <c r="D317" s="5"/>
      <c r="E317" s="5">
        <v>10955</v>
      </c>
      <c r="F317" s="5">
        <v>2249</v>
      </c>
      <c r="G317" s="5">
        <v>1278</v>
      </c>
      <c r="H317" s="5">
        <v>1890</v>
      </c>
      <c r="I317" s="5" t="s">
        <v>13</v>
      </c>
      <c r="J317" s="34">
        <v>85.454864914320666</v>
      </c>
      <c r="K317" s="10">
        <v>5</v>
      </c>
      <c r="L317" s="11">
        <v>492.8</v>
      </c>
      <c r="M317" s="31">
        <v>10</v>
      </c>
      <c r="N317" s="5">
        <v>31.8</v>
      </c>
      <c r="O317" s="5">
        <v>146077</v>
      </c>
      <c r="P317" s="5" t="s">
        <v>48</v>
      </c>
      <c r="Q317" s="5">
        <v>2</v>
      </c>
      <c r="R317" s="5">
        <v>10</v>
      </c>
      <c r="S317" s="5">
        <v>1000</v>
      </c>
      <c r="T317" s="5">
        <v>250</v>
      </c>
      <c r="U317" s="5">
        <v>380</v>
      </c>
      <c r="V317" s="5">
        <f t="shared" si="20"/>
        <v>6.7</v>
      </c>
      <c r="W317" s="5" t="s">
        <v>10</v>
      </c>
      <c r="X317" s="5">
        <v>47</v>
      </c>
      <c r="Y317" s="5">
        <v>2137.6</v>
      </c>
      <c r="Z317" s="5">
        <v>347</v>
      </c>
      <c r="AA317" s="5" t="s">
        <v>68</v>
      </c>
      <c r="AB317" s="5"/>
      <c r="AC317" s="5"/>
      <c r="AD317" s="5"/>
      <c r="AE317" s="5"/>
      <c r="AF317" s="5" t="s">
        <v>68</v>
      </c>
      <c r="AG317" s="5"/>
      <c r="AH317" s="12" t="s">
        <v>48</v>
      </c>
      <c r="AI317" s="12"/>
      <c r="AJ317" s="12"/>
      <c r="AK317" s="12"/>
      <c r="AL317" s="12"/>
      <c r="AM317" s="12"/>
      <c r="AN317" s="12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</row>
    <row r="318" spans="1:240" s="2" customFormat="1" ht="30" customHeight="1">
      <c r="A318" s="5">
        <v>316</v>
      </c>
      <c r="B318" s="5" t="s">
        <v>68</v>
      </c>
      <c r="C318" s="5" t="s">
        <v>68</v>
      </c>
      <c r="D318" s="5"/>
      <c r="E318" s="5">
        <v>2000</v>
      </c>
      <c r="F318" s="5">
        <v>1590</v>
      </c>
      <c r="G318" s="5">
        <v>1650</v>
      </c>
      <c r="H318" s="5">
        <v>240</v>
      </c>
      <c r="I318" s="5" t="s">
        <v>13</v>
      </c>
      <c r="J318" s="34">
        <v>6.3987104613198715</v>
      </c>
      <c r="K318" s="10">
        <v>5</v>
      </c>
      <c r="L318" s="11">
        <v>36.9</v>
      </c>
      <c r="M318" s="31">
        <v>10</v>
      </c>
      <c r="N318" s="5"/>
      <c r="O318" s="5">
        <f>2.79*3600</f>
        <v>10044</v>
      </c>
      <c r="P318" s="33">
        <f>0.5*60</f>
        <v>30</v>
      </c>
      <c r="Q318" s="5">
        <v>1</v>
      </c>
      <c r="R318" s="5">
        <v>1</v>
      </c>
      <c r="S318" s="5">
        <v>914</v>
      </c>
      <c r="T318" s="5" t="s">
        <v>48</v>
      </c>
      <c r="U318" s="5">
        <v>350</v>
      </c>
      <c r="V318" s="5" t="s">
        <v>48</v>
      </c>
      <c r="W318" s="5" t="s">
        <v>10</v>
      </c>
      <c r="X318" s="5">
        <v>33</v>
      </c>
      <c r="Y318" s="5">
        <v>160</v>
      </c>
      <c r="Z318" s="5">
        <v>30</v>
      </c>
      <c r="AA318" s="5" t="s">
        <v>68</v>
      </c>
      <c r="AB318" s="5"/>
      <c r="AC318" s="5"/>
      <c r="AD318" s="5"/>
      <c r="AE318" s="5"/>
      <c r="AF318" s="5" t="s">
        <v>68</v>
      </c>
      <c r="AG318" s="5"/>
      <c r="AH318" s="12">
        <v>4832</v>
      </c>
      <c r="AI318" s="12"/>
      <c r="AJ318" s="12"/>
      <c r="AK318" s="12" t="s">
        <v>68</v>
      </c>
      <c r="AL318" s="12"/>
      <c r="AM318" s="12">
        <f>AH318+AN318</f>
        <v>4994</v>
      </c>
      <c r="AN318" s="12">
        <v>162</v>
      </c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</row>
    <row r="319" spans="1:240" s="2" customFormat="1" ht="30" customHeight="1">
      <c r="A319" s="5">
        <v>317</v>
      </c>
      <c r="B319" s="5" t="s">
        <v>68</v>
      </c>
      <c r="C319" s="5" t="s">
        <v>68</v>
      </c>
      <c r="D319" s="5"/>
      <c r="E319" s="5">
        <v>2000</v>
      </c>
      <c r="F319" s="5">
        <v>1590</v>
      </c>
      <c r="G319" s="5">
        <v>1650</v>
      </c>
      <c r="H319" s="5">
        <v>260</v>
      </c>
      <c r="I319" s="5" t="s">
        <v>13</v>
      </c>
      <c r="J319" s="34">
        <v>6.6588206426743382</v>
      </c>
      <c r="K319" s="10">
        <v>5</v>
      </c>
      <c r="L319" s="11">
        <v>38.4</v>
      </c>
      <c r="M319" s="31">
        <v>10</v>
      </c>
      <c r="N319" s="5"/>
      <c r="O319" s="5">
        <f>2.6*3600</f>
        <v>9360</v>
      </c>
      <c r="P319" s="33">
        <f>0.5*60</f>
        <v>30</v>
      </c>
      <c r="Q319" s="5">
        <v>1</v>
      </c>
      <c r="R319" s="5">
        <v>1</v>
      </c>
      <c r="S319" s="5">
        <v>914</v>
      </c>
      <c r="T319" s="5" t="s">
        <v>48</v>
      </c>
      <c r="U319" s="5">
        <v>350</v>
      </c>
      <c r="V319" s="5" t="s">
        <v>48</v>
      </c>
      <c r="W319" s="5" t="s">
        <v>10</v>
      </c>
      <c r="X319" s="5">
        <v>33</v>
      </c>
      <c r="Y319" s="5">
        <v>213</v>
      </c>
      <c r="Z319" s="5">
        <v>40</v>
      </c>
      <c r="AA319" s="5" t="s">
        <v>68</v>
      </c>
      <c r="AB319" s="5"/>
      <c r="AC319" s="5"/>
      <c r="AD319" s="5"/>
      <c r="AE319" s="5"/>
      <c r="AF319" s="5" t="s">
        <v>68</v>
      </c>
      <c r="AG319" s="5"/>
      <c r="AH319" s="12">
        <v>5338</v>
      </c>
      <c r="AI319" s="12"/>
      <c r="AJ319" s="12"/>
      <c r="AK319" s="12" t="s">
        <v>68</v>
      </c>
      <c r="AL319" s="12"/>
      <c r="AM319" s="12">
        <f t="shared" ref="AM319:AM355" si="21">AH319+AN319</f>
        <v>5500</v>
      </c>
      <c r="AN319" s="12">
        <v>162</v>
      </c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</row>
    <row r="320" spans="1:240" s="2" customFormat="1" ht="30" customHeight="1">
      <c r="A320" s="5">
        <v>318</v>
      </c>
      <c r="B320" s="5" t="s">
        <v>68</v>
      </c>
      <c r="C320" s="5" t="s">
        <v>68</v>
      </c>
      <c r="D320" s="5"/>
      <c r="E320" s="5">
        <v>2400</v>
      </c>
      <c r="F320" s="5">
        <v>1590</v>
      </c>
      <c r="G320" s="5">
        <v>1650</v>
      </c>
      <c r="H320" s="5">
        <v>320</v>
      </c>
      <c r="I320" s="5" t="s">
        <v>13</v>
      </c>
      <c r="J320" s="34">
        <v>7.5085139017655944</v>
      </c>
      <c r="K320" s="10">
        <v>5</v>
      </c>
      <c r="L320" s="11">
        <v>43.3</v>
      </c>
      <c r="M320" s="31">
        <v>10</v>
      </c>
      <c r="N320" s="5"/>
      <c r="O320" s="5">
        <f>2.87*3600</f>
        <v>10332</v>
      </c>
      <c r="P320" s="33">
        <f>0.5*60</f>
        <v>30</v>
      </c>
      <c r="Q320" s="5">
        <v>1</v>
      </c>
      <c r="R320" s="5">
        <v>1</v>
      </c>
      <c r="S320" s="5">
        <v>914</v>
      </c>
      <c r="T320" s="5" t="s">
        <v>48</v>
      </c>
      <c r="U320" s="5">
        <v>350</v>
      </c>
      <c r="V320" s="5" t="s">
        <v>48</v>
      </c>
      <c r="W320" s="5" t="s">
        <v>10</v>
      </c>
      <c r="X320" s="5">
        <v>33</v>
      </c>
      <c r="Y320" s="5">
        <v>274</v>
      </c>
      <c r="Z320" s="5">
        <v>50</v>
      </c>
      <c r="AA320" s="5" t="s">
        <v>68</v>
      </c>
      <c r="AB320" s="5"/>
      <c r="AC320" s="5"/>
      <c r="AD320" s="5"/>
      <c r="AE320" s="5"/>
      <c r="AF320" s="5" t="s">
        <v>68</v>
      </c>
      <c r="AG320" s="5"/>
      <c r="AH320" s="12">
        <v>5737</v>
      </c>
      <c r="AI320" s="12"/>
      <c r="AJ320" s="12"/>
      <c r="AK320" s="12" t="s">
        <v>68</v>
      </c>
      <c r="AL320" s="12"/>
      <c r="AM320" s="12">
        <f t="shared" si="21"/>
        <v>5899</v>
      </c>
      <c r="AN320" s="12">
        <v>162</v>
      </c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</row>
    <row r="321" spans="1:240" s="2" customFormat="1" ht="30" customHeight="1">
      <c r="A321" s="5">
        <v>319</v>
      </c>
      <c r="B321" s="5" t="s">
        <v>68</v>
      </c>
      <c r="C321" s="5" t="s">
        <v>68</v>
      </c>
      <c r="D321" s="5"/>
      <c r="E321" s="5">
        <v>3400</v>
      </c>
      <c r="F321" s="5">
        <v>1590</v>
      </c>
      <c r="G321" s="5">
        <v>1650</v>
      </c>
      <c r="H321" s="5">
        <v>480</v>
      </c>
      <c r="I321" s="5" t="s">
        <v>13</v>
      </c>
      <c r="J321" s="34">
        <v>12.797420922639743</v>
      </c>
      <c r="K321" s="10">
        <v>5</v>
      </c>
      <c r="L321" s="11">
        <v>73.8</v>
      </c>
      <c r="M321" s="31">
        <v>10</v>
      </c>
      <c r="N321" s="5"/>
      <c r="O321" s="5">
        <f>5.59*3600</f>
        <v>20124</v>
      </c>
      <c r="P321" s="33">
        <v>60</v>
      </c>
      <c r="Q321" s="5">
        <v>1</v>
      </c>
      <c r="R321" s="5">
        <v>2</v>
      </c>
      <c r="S321" s="5">
        <v>914</v>
      </c>
      <c r="T321" s="5" t="s">
        <v>48</v>
      </c>
      <c r="U321" s="5">
        <v>350</v>
      </c>
      <c r="V321" s="5" t="s">
        <v>48</v>
      </c>
      <c r="W321" s="5" t="s">
        <v>10</v>
      </c>
      <c r="X321" s="5">
        <v>36</v>
      </c>
      <c r="Y321" s="5">
        <v>320</v>
      </c>
      <c r="Z321" s="5">
        <v>50</v>
      </c>
      <c r="AA321" s="5" t="s">
        <v>68</v>
      </c>
      <c r="AB321" s="5"/>
      <c r="AC321" s="5"/>
      <c r="AD321" s="5"/>
      <c r="AE321" s="5"/>
      <c r="AF321" s="5" t="s">
        <v>68</v>
      </c>
      <c r="AG321" s="5"/>
      <c r="AH321" s="12">
        <v>8803</v>
      </c>
      <c r="AI321" s="12"/>
      <c r="AJ321" s="12"/>
      <c r="AK321" s="12" t="s">
        <v>68</v>
      </c>
      <c r="AL321" s="12"/>
      <c r="AM321" s="12">
        <f t="shared" si="21"/>
        <v>9051</v>
      </c>
      <c r="AN321" s="12">
        <v>248</v>
      </c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</row>
    <row r="322" spans="1:240" s="2" customFormat="1" ht="30" customHeight="1">
      <c r="A322" s="5">
        <v>320</v>
      </c>
      <c r="B322" s="5" t="s">
        <v>68</v>
      </c>
      <c r="C322" s="5" t="s">
        <v>68</v>
      </c>
      <c r="D322" s="5"/>
      <c r="E322" s="5">
        <v>3400</v>
      </c>
      <c r="F322" s="5">
        <v>1590</v>
      </c>
      <c r="G322" s="5">
        <v>1650</v>
      </c>
      <c r="H322" s="5">
        <v>520</v>
      </c>
      <c r="I322" s="5" t="s">
        <v>13</v>
      </c>
      <c r="J322" s="34">
        <v>13.317641285348676</v>
      </c>
      <c r="K322" s="10">
        <v>5</v>
      </c>
      <c r="L322" s="11">
        <v>76.8</v>
      </c>
      <c r="M322" s="31">
        <v>10</v>
      </c>
      <c r="N322" s="5"/>
      <c r="O322" s="5">
        <f>5.21*3600</f>
        <v>18756</v>
      </c>
      <c r="P322" s="33">
        <v>60</v>
      </c>
      <c r="Q322" s="5">
        <v>1</v>
      </c>
      <c r="R322" s="5">
        <v>2</v>
      </c>
      <c r="S322" s="5">
        <v>914</v>
      </c>
      <c r="T322" s="5" t="s">
        <v>48</v>
      </c>
      <c r="U322" s="5">
        <v>350</v>
      </c>
      <c r="V322" s="5" t="s">
        <v>48</v>
      </c>
      <c r="W322" s="5" t="s">
        <v>10</v>
      </c>
      <c r="X322" s="5">
        <v>36</v>
      </c>
      <c r="Y322" s="5">
        <v>426</v>
      </c>
      <c r="Z322" s="5">
        <v>70</v>
      </c>
      <c r="AA322" s="5" t="s">
        <v>68</v>
      </c>
      <c r="AB322" s="5"/>
      <c r="AC322" s="5"/>
      <c r="AD322" s="5"/>
      <c r="AE322" s="5"/>
      <c r="AF322" s="5" t="s">
        <v>68</v>
      </c>
      <c r="AG322" s="5"/>
      <c r="AH322" s="12">
        <v>9768</v>
      </c>
      <c r="AI322" s="12"/>
      <c r="AJ322" s="12"/>
      <c r="AK322" s="12" t="s">
        <v>68</v>
      </c>
      <c r="AL322" s="12"/>
      <c r="AM322" s="12">
        <f t="shared" si="21"/>
        <v>10016</v>
      </c>
      <c r="AN322" s="12">
        <v>248</v>
      </c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</row>
    <row r="323" spans="1:240" s="2" customFormat="1" ht="30" customHeight="1">
      <c r="A323" s="5">
        <v>321</v>
      </c>
      <c r="B323" s="5" t="s">
        <v>68</v>
      </c>
      <c r="C323" s="5" t="s">
        <v>68</v>
      </c>
      <c r="D323" s="5"/>
      <c r="E323" s="5">
        <v>4200</v>
      </c>
      <c r="F323" s="5">
        <v>1590</v>
      </c>
      <c r="G323" s="5">
        <v>1650</v>
      </c>
      <c r="H323" s="5">
        <v>640</v>
      </c>
      <c r="I323" s="5" t="s">
        <v>13</v>
      </c>
      <c r="J323" s="34">
        <v>15.017027803531189</v>
      </c>
      <c r="K323" s="10">
        <v>5</v>
      </c>
      <c r="L323" s="11">
        <v>86.6</v>
      </c>
      <c r="M323" s="31">
        <v>10</v>
      </c>
      <c r="N323" s="5"/>
      <c r="O323" s="5">
        <f>5.75*3600</f>
        <v>20700</v>
      </c>
      <c r="P323" s="33">
        <v>60</v>
      </c>
      <c r="Q323" s="5">
        <v>1</v>
      </c>
      <c r="R323" s="5">
        <v>2</v>
      </c>
      <c r="S323" s="5">
        <v>914</v>
      </c>
      <c r="T323" s="5" t="s">
        <v>48</v>
      </c>
      <c r="U323" s="5">
        <v>350</v>
      </c>
      <c r="V323" s="5" t="s">
        <v>48</v>
      </c>
      <c r="W323" s="5" t="s">
        <v>10</v>
      </c>
      <c r="X323" s="5">
        <v>36</v>
      </c>
      <c r="Y323" s="5">
        <v>548</v>
      </c>
      <c r="Z323" s="5">
        <v>90</v>
      </c>
      <c r="AA323" s="5" t="s">
        <v>68</v>
      </c>
      <c r="AB323" s="5"/>
      <c r="AC323" s="5"/>
      <c r="AD323" s="5"/>
      <c r="AE323" s="5"/>
      <c r="AF323" s="5" t="s">
        <v>68</v>
      </c>
      <c r="AG323" s="5"/>
      <c r="AH323" s="12">
        <v>10708</v>
      </c>
      <c r="AI323" s="12"/>
      <c r="AJ323" s="12"/>
      <c r="AK323" s="12" t="s">
        <v>68</v>
      </c>
      <c r="AL323" s="12"/>
      <c r="AM323" s="12">
        <f t="shared" si="21"/>
        <v>10956</v>
      </c>
      <c r="AN323" s="12">
        <v>248</v>
      </c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</row>
    <row r="324" spans="1:240" s="2" customFormat="1" ht="30" customHeight="1">
      <c r="A324" s="5">
        <v>322</v>
      </c>
      <c r="B324" s="5" t="s">
        <v>68</v>
      </c>
      <c r="C324" s="5" t="s">
        <v>68</v>
      </c>
      <c r="D324" s="5"/>
      <c r="E324" s="5">
        <v>4800</v>
      </c>
      <c r="F324" s="5">
        <v>1590</v>
      </c>
      <c r="G324" s="5">
        <v>1650</v>
      </c>
      <c r="H324" s="5">
        <v>720</v>
      </c>
      <c r="I324" s="5" t="s">
        <v>13</v>
      </c>
      <c r="J324" s="34">
        <v>19.421560207800152</v>
      </c>
      <c r="K324" s="10">
        <v>5</v>
      </c>
      <c r="L324" s="11">
        <v>112</v>
      </c>
      <c r="M324" s="31">
        <v>10</v>
      </c>
      <c r="N324" s="5"/>
      <c r="O324" s="5">
        <f>8.38*3600</f>
        <v>30168.000000000004</v>
      </c>
      <c r="P324" s="33">
        <f>1.5*60</f>
        <v>90</v>
      </c>
      <c r="Q324" s="5">
        <v>1</v>
      </c>
      <c r="R324" s="5">
        <v>3</v>
      </c>
      <c r="S324" s="5">
        <v>914</v>
      </c>
      <c r="T324" s="5" t="s">
        <v>48</v>
      </c>
      <c r="U324" s="5">
        <v>350</v>
      </c>
      <c r="V324" s="5" t="s">
        <v>48</v>
      </c>
      <c r="W324" s="5" t="s">
        <v>10</v>
      </c>
      <c r="X324" s="5">
        <v>37</v>
      </c>
      <c r="Y324" s="5">
        <v>480</v>
      </c>
      <c r="Z324" s="5">
        <v>80</v>
      </c>
      <c r="AA324" s="5" t="s">
        <v>68</v>
      </c>
      <c r="AB324" s="5"/>
      <c r="AC324" s="5"/>
      <c r="AD324" s="5"/>
      <c r="AE324" s="5"/>
      <c r="AF324" s="5" t="s">
        <v>68</v>
      </c>
      <c r="AG324" s="5"/>
      <c r="AH324" s="12">
        <v>12090</v>
      </c>
      <c r="AI324" s="12"/>
      <c r="AJ324" s="12"/>
      <c r="AK324" s="12" t="s">
        <v>68</v>
      </c>
      <c r="AL324" s="12"/>
      <c r="AM324" s="12">
        <f t="shared" si="21"/>
        <v>12425</v>
      </c>
      <c r="AN324" s="12">
        <v>335</v>
      </c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</row>
    <row r="325" spans="1:240" s="2" customFormat="1" ht="30" customHeight="1">
      <c r="A325" s="5">
        <v>323</v>
      </c>
      <c r="B325" s="5" t="s">
        <v>68</v>
      </c>
      <c r="C325" s="5" t="s">
        <v>68</v>
      </c>
      <c r="D325" s="5"/>
      <c r="E325" s="5">
        <v>4800</v>
      </c>
      <c r="F325" s="5">
        <v>1590</v>
      </c>
      <c r="G325" s="5">
        <v>1650</v>
      </c>
      <c r="H325" s="5">
        <v>780</v>
      </c>
      <c r="I325" s="5" t="s">
        <v>13</v>
      </c>
      <c r="J325" s="34">
        <v>19.941780570509088</v>
      </c>
      <c r="K325" s="10">
        <v>5</v>
      </c>
      <c r="L325" s="11">
        <v>115</v>
      </c>
      <c r="M325" s="31">
        <v>10</v>
      </c>
      <c r="N325" s="5"/>
      <c r="O325" s="5">
        <f>7.81*3600</f>
        <v>28116</v>
      </c>
      <c r="P325" s="33">
        <f>1.5*60</f>
        <v>90</v>
      </c>
      <c r="Q325" s="5">
        <v>1</v>
      </c>
      <c r="R325" s="5">
        <v>3</v>
      </c>
      <c r="S325" s="5">
        <v>914</v>
      </c>
      <c r="T325" s="5" t="s">
        <v>48</v>
      </c>
      <c r="U325" s="5">
        <v>350</v>
      </c>
      <c r="V325" s="5" t="s">
        <v>48</v>
      </c>
      <c r="W325" s="5" t="s">
        <v>10</v>
      </c>
      <c r="X325" s="5">
        <v>37</v>
      </c>
      <c r="Y325" s="5">
        <v>640</v>
      </c>
      <c r="Z325" s="5">
        <v>100</v>
      </c>
      <c r="AA325" s="5" t="s">
        <v>68</v>
      </c>
      <c r="AB325" s="5"/>
      <c r="AC325" s="5"/>
      <c r="AD325" s="5"/>
      <c r="AE325" s="5"/>
      <c r="AF325" s="5" t="s">
        <v>68</v>
      </c>
      <c r="AG325" s="5"/>
      <c r="AH325" s="12">
        <v>13442</v>
      </c>
      <c r="AI325" s="12"/>
      <c r="AJ325" s="12"/>
      <c r="AK325" s="12" t="s">
        <v>68</v>
      </c>
      <c r="AL325" s="12"/>
      <c r="AM325" s="12">
        <f t="shared" si="21"/>
        <v>13777</v>
      </c>
      <c r="AN325" s="12">
        <v>335</v>
      </c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</row>
    <row r="326" spans="1:240" s="2" customFormat="1" ht="30" customHeight="1">
      <c r="A326" s="5">
        <v>324</v>
      </c>
      <c r="B326" s="5" t="s">
        <v>68</v>
      </c>
      <c r="C326" s="5" t="s">
        <v>68</v>
      </c>
      <c r="D326" s="5"/>
      <c r="E326" s="5">
        <v>6000</v>
      </c>
      <c r="F326" s="5">
        <v>1590</v>
      </c>
      <c r="G326" s="5">
        <v>1650</v>
      </c>
      <c r="H326" s="5">
        <v>960</v>
      </c>
      <c r="I326" s="5" t="s">
        <v>13</v>
      </c>
      <c r="J326" s="34">
        <v>22.542882384053748</v>
      </c>
      <c r="K326" s="10">
        <v>5</v>
      </c>
      <c r="L326" s="11">
        <v>130</v>
      </c>
      <c r="M326" s="31">
        <v>10</v>
      </c>
      <c r="N326" s="5"/>
      <c r="O326" s="5">
        <f>8.62*3600</f>
        <v>31031.999999999996</v>
      </c>
      <c r="P326" s="33">
        <f>1.5*60</f>
        <v>90</v>
      </c>
      <c r="Q326" s="5">
        <v>1</v>
      </c>
      <c r="R326" s="5">
        <v>3</v>
      </c>
      <c r="S326" s="5">
        <v>914</v>
      </c>
      <c r="T326" s="5" t="s">
        <v>48</v>
      </c>
      <c r="U326" s="5">
        <v>350</v>
      </c>
      <c r="V326" s="5" t="s">
        <v>48</v>
      </c>
      <c r="W326" s="5" t="s">
        <v>10</v>
      </c>
      <c r="X326" s="5">
        <v>37</v>
      </c>
      <c r="Y326" s="5">
        <v>822</v>
      </c>
      <c r="Z326" s="5">
        <v>130</v>
      </c>
      <c r="AA326" s="5" t="s">
        <v>68</v>
      </c>
      <c r="AB326" s="5"/>
      <c r="AC326" s="5"/>
      <c r="AD326" s="5"/>
      <c r="AE326" s="5"/>
      <c r="AF326" s="5" t="s">
        <v>68</v>
      </c>
      <c r="AG326" s="5"/>
      <c r="AH326" s="12">
        <v>14877</v>
      </c>
      <c r="AI326" s="12"/>
      <c r="AJ326" s="12"/>
      <c r="AK326" s="12" t="s">
        <v>68</v>
      </c>
      <c r="AL326" s="12"/>
      <c r="AM326" s="12">
        <f t="shared" si="21"/>
        <v>15212</v>
      </c>
      <c r="AN326" s="12">
        <v>335</v>
      </c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</row>
    <row r="327" spans="1:240" s="2" customFormat="1" ht="30" customHeight="1">
      <c r="A327" s="5">
        <v>325</v>
      </c>
      <c r="B327" s="5" t="s">
        <v>68</v>
      </c>
      <c r="C327" s="5" t="s">
        <v>68</v>
      </c>
      <c r="D327" s="5"/>
      <c r="E327" s="5">
        <v>6200</v>
      </c>
      <c r="F327" s="5">
        <v>1590</v>
      </c>
      <c r="G327" s="5">
        <v>1650</v>
      </c>
      <c r="H327" s="5">
        <v>960</v>
      </c>
      <c r="I327" s="5" t="s">
        <v>13</v>
      </c>
      <c r="J327" s="34">
        <v>25.837611347876987</v>
      </c>
      <c r="K327" s="10">
        <v>5</v>
      </c>
      <c r="L327" s="11">
        <v>149</v>
      </c>
      <c r="M327" s="31">
        <v>10</v>
      </c>
      <c r="N327" s="5"/>
      <c r="O327" s="5">
        <f>11.2*3600</f>
        <v>40320</v>
      </c>
      <c r="P327" s="33">
        <v>120</v>
      </c>
      <c r="Q327" s="5">
        <v>1</v>
      </c>
      <c r="R327" s="5">
        <v>4</v>
      </c>
      <c r="S327" s="5">
        <v>914</v>
      </c>
      <c r="T327" s="5" t="s">
        <v>48</v>
      </c>
      <c r="U327" s="5">
        <v>350</v>
      </c>
      <c r="V327" s="5" t="s">
        <v>48</v>
      </c>
      <c r="W327" s="5" t="s">
        <v>10</v>
      </c>
      <c r="X327" s="5">
        <v>39</v>
      </c>
      <c r="Y327" s="5">
        <v>640</v>
      </c>
      <c r="Z327" s="5">
        <v>100</v>
      </c>
      <c r="AA327" s="5" t="s">
        <v>68</v>
      </c>
      <c r="AB327" s="5"/>
      <c r="AC327" s="5"/>
      <c r="AD327" s="5"/>
      <c r="AE327" s="5"/>
      <c r="AF327" s="5" t="s">
        <v>68</v>
      </c>
      <c r="AG327" s="5"/>
      <c r="AH327" s="12">
        <v>15471</v>
      </c>
      <c r="AI327" s="12"/>
      <c r="AJ327" s="12"/>
      <c r="AK327" s="12" t="s">
        <v>68</v>
      </c>
      <c r="AL327" s="12"/>
      <c r="AM327" s="12">
        <f t="shared" si="21"/>
        <v>15903</v>
      </c>
      <c r="AN327" s="12">
        <v>432</v>
      </c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</row>
    <row r="328" spans="1:240" s="2" customFormat="1" ht="30" customHeight="1">
      <c r="A328" s="5">
        <v>326</v>
      </c>
      <c r="B328" s="5" t="s">
        <v>68</v>
      </c>
      <c r="C328" s="5" t="s">
        <v>68</v>
      </c>
      <c r="D328" s="5"/>
      <c r="E328" s="5">
        <v>6200</v>
      </c>
      <c r="F328" s="5">
        <v>1590</v>
      </c>
      <c r="G328" s="5">
        <v>1650</v>
      </c>
      <c r="H328" s="5">
        <v>1040</v>
      </c>
      <c r="I328" s="5" t="s">
        <v>13</v>
      </c>
      <c r="J328" s="34">
        <v>26.704645285725206</v>
      </c>
      <c r="K328" s="10">
        <v>5</v>
      </c>
      <c r="L328" s="11">
        <v>154</v>
      </c>
      <c r="M328" s="31">
        <v>10</v>
      </c>
      <c r="N328" s="5"/>
      <c r="O328" s="5">
        <f>10.4*3600</f>
        <v>37440</v>
      </c>
      <c r="P328" s="33">
        <v>120</v>
      </c>
      <c r="Q328" s="5">
        <v>1</v>
      </c>
      <c r="R328" s="5">
        <v>4</v>
      </c>
      <c r="S328" s="5">
        <v>914</v>
      </c>
      <c r="T328" s="5" t="s">
        <v>48</v>
      </c>
      <c r="U328" s="5">
        <v>350</v>
      </c>
      <c r="V328" s="5" t="s">
        <v>48</v>
      </c>
      <c r="W328" s="5" t="s">
        <v>10</v>
      </c>
      <c r="X328" s="5">
        <v>39</v>
      </c>
      <c r="Y328" s="5">
        <v>852</v>
      </c>
      <c r="Z328" s="5">
        <v>140</v>
      </c>
      <c r="AA328" s="5" t="s">
        <v>68</v>
      </c>
      <c r="AB328" s="5"/>
      <c r="AC328" s="5"/>
      <c r="AD328" s="5"/>
      <c r="AE328" s="5"/>
      <c r="AF328" s="5" t="s">
        <v>68</v>
      </c>
      <c r="AG328" s="5"/>
      <c r="AH328" s="12">
        <v>17282</v>
      </c>
      <c r="AI328" s="12"/>
      <c r="AJ328" s="12"/>
      <c r="AK328" s="12" t="s">
        <v>68</v>
      </c>
      <c r="AL328" s="12"/>
      <c r="AM328" s="12">
        <f t="shared" si="21"/>
        <v>17714</v>
      </c>
      <c r="AN328" s="12">
        <v>432</v>
      </c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</row>
    <row r="329" spans="1:240" s="2" customFormat="1" ht="30" customHeight="1">
      <c r="A329" s="5">
        <v>327</v>
      </c>
      <c r="B329" s="5" t="s">
        <v>68</v>
      </c>
      <c r="C329" s="5" t="s">
        <v>68</v>
      </c>
      <c r="D329" s="5"/>
      <c r="E329" s="5">
        <v>7800</v>
      </c>
      <c r="F329" s="5">
        <v>1590</v>
      </c>
      <c r="G329" s="5">
        <v>1650</v>
      </c>
      <c r="H329" s="5">
        <v>1280</v>
      </c>
      <c r="I329" s="5" t="s">
        <v>13</v>
      </c>
      <c r="J329" s="34">
        <v>29.999374249548449</v>
      </c>
      <c r="K329" s="10">
        <v>5</v>
      </c>
      <c r="L329" s="11">
        <v>173</v>
      </c>
      <c r="M329" s="31">
        <v>10</v>
      </c>
      <c r="N329" s="5"/>
      <c r="O329" s="5">
        <f>11.5*3600</f>
        <v>41400</v>
      </c>
      <c r="P329" s="33">
        <v>120</v>
      </c>
      <c r="Q329" s="5">
        <v>1</v>
      </c>
      <c r="R329" s="5">
        <v>4</v>
      </c>
      <c r="S329" s="5">
        <v>914</v>
      </c>
      <c r="T329" s="5" t="s">
        <v>48</v>
      </c>
      <c r="U329" s="5">
        <v>350</v>
      </c>
      <c r="V329" s="5" t="s">
        <v>48</v>
      </c>
      <c r="W329" s="5" t="s">
        <v>10</v>
      </c>
      <c r="X329" s="5">
        <v>39</v>
      </c>
      <c r="Y329" s="5">
        <v>1100</v>
      </c>
      <c r="Z329" s="5">
        <v>170</v>
      </c>
      <c r="AA329" s="5" t="s">
        <v>68</v>
      </c>
      <c r="AB329" s="5"/>
      <c r="AC329" s="5"/>
      <c r="AD329" s="5"/>
      <c r="AE329" s="5"/>
      <c r="AF329" s="5" t="s">
        <v>68</v>
      </c>
      <c r="AG329" s="5"/>
      <c r="AH329" s="12">
        <v>19117</v>
      </c>
      <c r="AI329" s="12"/>
      <c r="AJ329" s="12"/>
      <c r="AK329" s="12" t="s">
        <v>68</v>
      </c>
      <c r="AL329" s="12"/>
      <c r="AM329" s="12">
        <f t="shared" si="21"/>
        <v>19549</v>
      </c>
      <c r="AN329" s="12">
        <v>432</v>
      </c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</row>
    <row r="330" spans="1:240" s="2" customFormat="1" ht="30" customHeight="1">
      <c r="A330" s="5">
        <v>328</v>
      </c>
      <c r="B330" s="5" t="s">
        <v>68</v>
      </c>
      <c r="C330" s="5" t="s">
        <v>68</v>
      </c>
      <c r="D330" s="5"/>
      <c r="E330" s="5">
        <v>7600</v>
      </c>
      <c r="F330" s="5">
        <v>1590</v>
      </c>
      <c r="G330" s="5">
        <v>1650</v>
      </c>
      <c r="H330" s="5">
        <v>1200</v>
      </c>
      <c r="I330" s="5" t="s">
        <v>13</v>
      </c>
      <c r="J330" s="34">
        <v>32.253662487953825</v>
      </c>
      <c r="K330" s="10">
        <v>5</v>
      </c>
      <c r="L330" s="11">
        <v>186</v>
      </c>
      <c r="M330" s="31">
        <v>10</v>
      </c>
      <c r="N330" s="5"/>
      <c r="O330" s="5">
        <f>14*3600</f>
        <v>50400</v>
      </c>
      <c r="P330" s="33">
        <f>2.6*60</f>
        <v>156</v>
      </c>
      <c r="Q330" s="5">
        <v>1</v>
      </c>
      <c r="R330" s="5">
        <v>5</v>
      </c>
      <c r="S330" s="5">
        <v>914</v>
      </c>
      <c r="T330" s="5" t="s">
        <v>48</v>
      </c>
      <c r="U330" s="5">
        <v>350</v>
      </c>
      <c r="V330" s="5" t="s">
        <v>48</v>
      </c>
      <c r="W330" s="5" t="s">
        <v>10</v>
      </c>
      <c r="X330" s="5">
        <v>40</v>
      </c>
      <c r="Y330" s="5">
        <v>800</v>
      </c>
      <c r="Z330" s="5">
        <v>130</v>
      </c>
      <c r="AA330" s="5" t="s">
        <v>68</v>
      </c>
      <c r="AB330" s="5"/>
      <c r="AC330" s="5"/>
      <c r="AD330" s="5"/>
      <c r="AE330" s="5"/>
      <c r="AF330" s="5" t="s">
        <v>68</v>
      </c>
      <c r="AG330" s="5"/>
      <c r="AH330" s="12">
        <v>18746</v>
      </c>
      <c r="AI330" s="12"/>
      <c r="AJ330" s="12"/>
      <c r="AK330" s="12" t="s">
        <v>68</v>
      </c>
      <c r="AL330" s="12"/>
      <c r="AM330" s="12">
        <f t="shared" si="21"/>
        <v>19275</v>
      </c>
      <c r="AN330" s="12">
        <v>529</v>
      </c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</row>
    <row r="331" spans="1:240" s="2" customFormat="1" ht="30" customHeight="1">
      <c r="A331" s="5">
        <v>329</v>
      </c>
      <c r="B331" s="5" t="s">
        <v>68</v>
      </c>
      <c r="C331" s="5" t="s">
        <v>68</v>
      </c>
      <c r="D331" s="5"/>
      <c r="E331" s="5">
        <v>7600</v>
      </c>
      <c r="F331" s="5">
        <v>1590</v>
      </c>
      <c r="G331" s="5">
        <v>1650</v>
      </c>
      <c r="H331" s="5">
        <v>1300</v>
      </c>
      <c r="I331" s="5" t="s">
        <v>13</v>
      </c>
      <c r="J331" s="34">
        <v>33.467510000941331</v>
      </c>
      <c r="K331" s="10">
        <v>5</v>
      </c>
      <c r="L331" s="11">
        <v>193</v>
      </c>
      <c r="M331" s="31">
        <v>10</v>
      </c>
      <c r="N331" s="5"/>
      <c r="O331" s="5">
        <f>13*3600</f>
        <v>46800</v>
      </c>
      <c r="P331" s="33">
        <f>2.6*60</f>
        <v>156</v>
      </c>
      <c r="Q331" s="5">
        <v>1</v>
      </c>
      <c r="R331" s="5">
        <v>5</v>
      </c>
      <c r="S331" s="5">
        <v>914</v>
      </c>
      <c r="T331" s="5" t="s">
        <v>48</v>
      </c>
      <c r="U331" s="5">
        <v>350</v>
      </c>
      <c r="V331" s="5" t="s">
        <v>48</v>
      </c>
      <c r="W331" s="5" t="s">
        <v>10</v>
      </c>
      <c r="X331" s="5">
        <v>40</v>
      </c>
      <c r="Y331" s="5">
        <v>1070</v>
      </c>
      <c r="Z331" s="5">
        <v>170</v>
      </c>
      <c r="AA331" s="5" t="s">
        <v>68</v>
      </c>
      <c r="AB331" s="5"/>
      <c r="AC331" s="5"/>
      <c r="AD331" s="5"/>
      <c r="AE331" s="5"/>
      <c r="AF331" s="5" t="s">
        <v>68</v>
      </c>
      <c r="AG331" s="5"/>
      <c r="AH331" s="12">
        <v>20851</v>
      </c>
      <c r="AI331" s="12"/>
      <c r="AJ331" s="12"/>
      <c r="AK331" s="12" t="s">
        <v>68</v>
      </c>
      <c r="AL331" s="12"/>
      <c r="AM331" s="12">
        <f t="shared" si="21"/>
        <v>21380</v>
      </c>
      <c r="AN331" s="12">
        <v>529</v>
      </c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</row>
    <row r="332" spans="1:240" s="2" customFormat="1" ht="30" customHeight="1">
      <c r="A332" s="5">
        <v>330</v>
      </c>
      <c r="B332" s="5" t="s">
        <v>68</v>
      </c>
      <c r="C332" s="5" t="s">
        <v>68</v>
      </c>
      <c r="D332" s="5"/>
      <c r="E332" s="5">
        <v>9600</v>
      </c>
      <c r="F332" s="5">
        <v>1590</v>
      </c>
      <c r="G332" s="5">
        <v>1650</v>
      </c>
      <c r="H332" s="5">
        <v>1600</v>
      </c>
      <c r="I332" s="5" t="s">
        <v>13</v>
      </c>
      <c r="J332" s="34">
        <v>37.45586611504315</v>
      </c>
      <c r="K332" s="10">
        <v>5</v>
      </c>
      <c r="L332" s="11">
        <v>216</v>
      </c>
      <c r="M332" s="31">
        <v>10</v>
      </c>
      <c r="N332" s="5"/>
      <c r="O332" s="5">
        <f>14.4*3600</f>
        <v>51840</v>
      </c>
      <c r="P332" s="33">
        <f>2.6*60</f>
        <v>156</v>
      </c>
      <c r="Q332" s="5">
        <v>1</v>
      </c>
      <c r="R332" s="5">
        <v>5</v>
      </c>
      <c r="S332" s="5">
        <v>914</v>
      </c>
      <c r="T332" s="5" t="s">
        <v>48</v>
      </c>
      <c r="U332" s="5">
        <v>350</v>
      </c>
      <c r="V332" s="5" t="s">
        <v>48</v>
      </c>
      <c r="W332" s="5" t="s">
        <v>10</v>
      </c>
      <c r="X332" s="5">
        <v>40</v>
      </c>
      <c r="Y332" s="5">
        <v>1370</v>
      </c>
      <c r="Z332" s="5">
        <v>210</v>
      </c>
      <c r="AA332" s="5" t="s">
        <v>68</v>
      </c>
      <c r="AB332" s="5"/>
      <c r="AC332" s="5"/>
      <c r="AD332" s="5"/>
      <c r="AE332" s="5"/>
      <c r="AF332" s="5" t="s">
        <v>68</v>
      </c>
      <c r="AG332" s="5"/>
      <c r="AH332" s="12">
        <v>23274</v>
      </c>
      <c r="AI332" s="12"/>
      <c r="AJ332" s="12"/>
      <c r="AK332" s="12" t="s">
        <v>68</v>
      </c>
      <c r="AL332" s="12"/>
      <c r="AM332" s="12">
        <f t="shared" si="21"/>
        <v>23803</v>
      </c>
      <c r="AN332" s="12">
        <v>529</v>
      </c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</row>
    <row r="333" spans="1:240" s="2" customFormat="1" ht="30" customHeight="1">
      <c r="A333" s="5">
        <v>331</v>
      </c>
      <c r="B333" s="5" t="s">
        <v>68</v>
      </c>
      <c r="C333" s="5" t="s">
        <v>68</v>
      </c>
      <c r="D333" s="5"/>
      <c r="E333" s="5">
        <v>4200</v>
      </c>
      <c r="F333" s="5">
        <v>2400</v>
      </c>
      <c r="G333" s="5">
        <v>1700</v>
      </c>
      <c r="H333" s="5">
        <v>920</v>
      </c>
      <c r="I333" s="5" t="s">
        <v>13</v>
      </c>
      <c r="J333" s="34">
        <v>25.317390985168057</v>
      </c>
      <c r="K333" s="10">
        <v>5</v>
      </c>
      <c r="L333" s="11">
        <v>146</v>
      </c>
      <c r="M333" s="31">
        <v>10</v>
      </c>
      <c r="N333" s="5"/>
      <c r="O333" s="5">
        <f>11*3600</f>
        <v>39600</v>
      </c>
      <c r="P333" s="33">
        <v>120</v>
      </c>
      <c r="Q333" s="5">
        <v>2</v>
      </c>
      <c r="R333" s="5">
        <v>2</v>
      </c>
      <c r="S333" s="5">
        <v>914</v>
      </c>
      <c r="T333" s="5" t="s">
        <v>48</v>
      </c>
      <c r="U333" s="5">
        <v>350</v>
      </c>
      <c r="V333" s="5" t="s">
        <v>48</v>
      </c>
      <c r="W333" s="5" t="s">
        <v>10</v>
      </c>
      <c r="X333" s="5">
        <v>39</v>
      </c>
      <c r="Y333" s="5">
        <v>616</v>
      </c>
      <c r="Z333" s="5">
        <v>100</v>
      </c>
      <c r="AA333" s="5" t="s">
        <v>68</v>
      </c>
      <c r="AB333" s="5"/>
      <c r="AC333" s="5"/>
      <c r="AD333" s="5"/>
      <c r="AE333" s="5"/>
      <c r="AF333" s="5" t="s">
        <v>68</v>
      </c>
      <c r="AG333" s="5"/>
      <c r="AH333" s="12">
        <v>16026</v>
      </c>
      <c r="AI333" s="12"/>
      <c r="AJ333" s="12"/>
      <c r="AK333" s="12" t="s">
        <v>68</v>
      </c>
      <c r="AL333" s="12"/>
      <c r="AM333" s="12">
        <f t="shared" si="21"/>
        <v>16458</v>
      </c>
      <c r="AN333" s="12">
        <v>432</v>
      </c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</row>
    <row r="334" spans="1:240" s="2" customFormat="1" ht="30" customHeight="1">
      <c r="A334" s="5">
        <v>332</v>
      </c>
      <c r="B334" s="5" t="s">
        <v>68</v>
      </c>
      <c r="C334" s="5" t="s">
        <v>68</v>
      </c>
      <c r="D334" s="5"/>
      <c r="E334" s="5">
        <v>4200</v>
      </c>
      <c r="F334" s="5">
        <v>2400</v>
      </c>
      <c r="G334" s="5">
        <v>1700</v>
      </c>
      <c r="H334" s="5">
        <v>990</v>
      </c>
      <c r="I334" s="5" t="s">
        <v>13</v>
      </c>
      <c r="J334" s="34">
        <v>26.357831710585923</v>
      </c>
      <c r="K334" s="10">
        <v>5</v>
      </c>
      <c r="L334" s="11">
        <v>152</v>
      </c>
      <c r="M334" s="31">
        <v>10</v>
      </c>
      <c r="N334" s="5"/>
      <c r="O334" s="5">
        <f>10.2*3600</f>
        <v>36720</v>
      </c>
      <c r="P334" s="33">
        <v>120</v>
      </c>
      <c r="Q334" s="5">
        <v>2</v>
      </c>
      <c r="R334" s="5">
        <v>2</v>
      </c>
      <c r="S334" s="5">
        <v>914</v>
      </c>
      <c r="T334" s="5" t="s">
        <v>48</v>
      </c>
      <c r="U334" s="5">
        <v>350</v>
      </c>
      <c r="V334" s="5" t="s">
        <v>48</v>
      </c>
      <c r="W334" s="5" t="s">
        <v>10</v>
      </c>
      <c r="X334" s="5">
        <v>39</v>
      </c>
      <c r="Y334" s="5">
        <v>822</v>
      </c>
      <c r="Z334" s="5">
        <v>140</v>
      </c>
      <c r="AA334" s="5" t="s">
        <v>68</v>
      </c>
      <c r="AB334" s="5"/>
      <c r="AC334" s="5"/>
      <c r="AD334" s="5"/>
      <c r="AE334" s="5"/>
      <c r="AF334" s="5" t="s">
        <v>68</v>
      </c>
      <c r="AG334" s="5"/>
      <c r="AH334" s="12">
        <v>17826</v>
      </c>
      <c r="AI334" s="12"/>
      <c r="AJ334" s="12"/>
      <c r="AK334" s="12" t="s">
        <v>68</v>
      </c>
      <c r="AL334" s="12"/>
      <c r="AM334" s="12">
        <f t="shared" si="21"/>
        <v>18258</v>
      </c>
      <c r="AN334" s="12">
        <v>432</v>
      </c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</row>
    <row r="335" spans="1:240" s="2" customFormat="1" ht="30" customHeight="1">
      <c r="A335" s="5">
        <v>333</v>
      </c>
      <c r="B335" s="5" t="s">
        <v>68</v>
      </c>
      <c r="C335" s="5" t="s">
        <v>68</v>
      </c>
      <c r="D335" s="5"/>
      <c r="E335" s="5">
        <v>4800</v>
      </c>
      <c r="F335" s="5">
        <v>2400</v>
      </c>
      <c r="G335" s="5">
        <v>1700</v>
      </c>
      <c r="H335" s="5">
        <v>1110</v>
      </c>
      <c r="I335" s="5" t="s">
        <v>13</v>
      </c>
      <c r="J335" s="34">
        <v>28.265306373852006</v>
      </c>
      <c r="K335" s="10">
        <v>5</v>
      </c>
      <c r="L335" s="11">
        <v>163</v>
      </c>
      <c r="M335" s="31">
        <v>10</v>
      </c>
      <c r="N335" s="5"/>
      <c r="O335" s="5">
        <f>10.9*3600</f>
        <v>39240</v>
      </c>
      <c r="P335" s="33">
        <v>120</v>
      </c>
      <c r="Q335" s="5">
        <v>2</v>
      </c>
      <c r="R335" s="5">
        <v>2</v>
      </c>
      <c r="S335" s="5">
        <v>914</v>
      </c>
      <c r="T335" s="5" t="s">
        <v>48</v>
      </c>
      <c r="U335" s="5">
        <v>350</v>
      </c>
      <c r="V335" s="5" t="s">
        <v>48</v>
      </c>
      <c r="W335" s="5" t="s">
        <v>10</v>
      </c>
      <c r="X335" s="5">
        <v>39</v>
      </c>
      <c r="Y335" s="5">
        <v>960</v>
      </c>
      <c r="Z335" s="5">
        <v>150</v>
      </c>
      <c r="AA335" s="5" t="s">
        <v>68</v>
      </c>
      <c r="AB335" s="5"/>
      <c r="AC335" s="5"/>
      <c r="AD335" s="5"/>
      <c r="AE335" s="5"/>
      <c r="AF335" s="5" t="s">
        <v>68</v>
      </c>
      <c r="AG335" s="5"/>
      <c r="AH335" s="12">
        <v>18908</v>
      </c>
      <c r="AI335" s="12"/>
      <c r="AJ335" s="12"/>
      <c r="AK335" s="12" t="s">
        <v>68</v>
      </c>
      <c r="AL335" s="12"/>
      <c r="AM335" s="12">
        <f t="shared" si="21"/>
        <v>19340</v>
      </c>
      <c r="AN335" s="12">
        <v>432</v>
      </c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</row>
    <row r="336" spans="1:240" s="2" customFormat="1" ht="30" customHeight="1">
      <c r="A336" s="5">
        <v>334</v>
      </c>
      <c r="B336" s="5" t="s">
        <v>68</v>
      </c>
      <c r="C336" s="5" t="s">
        <v>68</v>
      </c>
      <c r="D336" s="5"/>
      <c r="E336" s="5">
        <v>6000</v>
      </c>
      <c r="F336" s="5">
        <v>2400</v>
      </c>
      <c r="G336" s="5">
        <v>1700</v>
      </c>
      <c r="H336" s="5">
        <v>1370</v>
      </c>
      <c r="I336" s="5" t="s">
        <v>13</v>
      </c>
      <c r="J336" s="34">
        <v>37.976086477752084</v>
      </c>
      <c r="K336" s="10">
        <v>5</v>
      </c>
      <c r="L336" s="11">
        <v>219</v>
      </c>
      <c r="M336" s="31">
        <v>10</v>
      </c>
      <c r="N336" s="5"/>
      <c r="O336" s="5">
        <f>16.5*3600</f>
        <v>59400</v>
      </c>
      <c r="P336" s="33">
        <f>3.1*60</f>
        <v>186</v>
      </c>
      <c r="Q336" s="5">
        <v>2</v>
      </c>
      <c r="R336" s="5">
        <v>3</v>
      </c>
      <c r="S336" s="5">
        <v>914</v>
      </c>
      <c r="T336" s="5" t="s">
        <v>48</v>
      </c>
      <c r="U336" s="5">
        <v>350</v>
      </c>
      <c r="V336" s="5" t="s">
        <v>48</v>
      </c>
      <c r="W336" s="5" t="s">
        <v>10</v>
      </c>
      <c r="X336" s="5">
        <v>41</v>
      </c>
      <c r="Y336" s="5">
        <v>924</v>
      </c>
      <c r="Z336" s="5">
        <v>150</v>
      </c>
      <c r="AA336" s="5" t="s">
        <v>68</v>
      </c>
      <c r="AB336" s="5"/>
      <c r="AC336" s="5"/>
      <c r="AD336" s="5"/>
      <c r="AE336" s="5"/>
      <c r="AF336" s="5" t="s">
        <v>68</v>
      </c>
      <c r="AG336" s="5"/>
      <c r="AH336" s="12">
        <v>21975</v>
      </c>
      <c r="AI336" s="12"/>
      <c r="AJ336" s="12"/>
      <c r="AK336" s="12" t="s">
        <v>68</v>
      </c>
      <c r="AL336" s="12"/>
      <c r="AM336" s="12">
        <f t="shared" si="21"/>
        <v>22634</v>
      </c>
      <c r="AN336" s="12">
        <v>659</v>
      </c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</row>
    <row r="337" spans="1:240" s="2" customFormat="1" ht="30" customHeight="1">
      <c r="A337" s="5">
        <v>335</v>
      </c>
      <c r="B337" s="5" t="s">
        <v>68</v>
      </c>
      <c r="C337" s="5" t="s">
        <v>68</v>
      </c>
      <c r="D337" s="5"/>
      <c r="E337" s="5">
        <v>6000</v>
      </c>
      <c r="F337" s="5">
        <v>2400</v>
      </c>
      <c r="G337" s="5">
        <v>1700</v>
      </c>
      <c r="H337" s="5">
        <v>1490</v>
      </c>
      <c r="I337" s="5" t="s">
        <v>13</v>
      </c>
      <c r="J337" s="34">
        <v>39.18993399073959</v>
      </c>
      <c r="K337" s="10">
        <v>5</v>
      </c>
      <c r="L337" s="11">
        <v>226</v>
      </c>
      <c r="M337" s="31">
        <v>10</v>
      </c>
      <c r="N337" s="5"/>
      <c r="O337" s="5">
        <f>15.4*3600</f>
        <v>55440</v>
      </c>
      <c r="P337" s="33">
        <f>3.1*60</f>
        <v>186</v>
      </c>
      <c r="Q337" s="5">
        <v>2</v>
      </c>
      <c r="R337" s="5">
        <v>3</v>
      </c>
      <c r="S337" s="5">
        <v>914</v>
      </c>
      <c r="T337" s="5" t="s">
        <v>48</v>
      </c>
      <c r="U337" s="5">
        <v>350</v>
      </c>
      <c r="V337" s="5" t="s">
        <v>48</v>
      </c>
      <c r="W337" s="5" t="s">
        <v>10</v>
      </c>
      <c r="X337" s="5">
        <v>41</v>
      </c>
      <c r="Y337" s="5">
        <v>1230</v>
      </c>
      <c r="Z337" s="5">
        <v>200</v>
      </c>
      <c r="AA337" s="5" t="s">
        <v>68</v>
      </c>
      <c r="AB337" s="5"/>
      <c r="AC337" s="5"/>
      <c r="AD337" s="5"/>
      <c r="AE337" s="5"/>
      <c r="AF337" s="5" t="s">
        <v>68</v>
      </c>
      <c r="AG337" s="5"/>
      <c r="AH337" s="12">
        <v>24433</v>
      </c>
      <c r="AI337" s="12"/>
      <c r="AJ337" s="12"/>
      <c r="AK337" s="12" t="s">
        <v>68</v>
      </c>
      <c r="AL337" s="12"/>
      <c r="AM337" s="12">
        <f t="shared" si="21"/>
        <v>25092</v>
      </c>
      <c r="AN337" s="12">
        <v>659</v>
      </c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</row>
    <row r="338" spans="1:240" s="2" customFormat="1" ht="30" customHeight="1">
      <c r="A338" s="5">
        <v>336</v>
      </c>
      <c r="B338" s="5" t="s">
        <v>68</v>
      </c>
      <c r="C338" s="5" t="s">
        <v>68</v>
      </c>
      <c r="D338" s="5"/>
      <c r="E338" s="5">
        <v>6900</v>
      </c>
      <c r="F338" s="5">
        <v>2400</v>
      </c>
      <c r="G338" s="5">
        <v>1700</v>
      </c>
      <c r="H338" s="5">
        <v>1670</v>
      </c>
      <c r="I338" s="5" t="s">
        <v>13</v>
      </c>
      <c r="J338" s="34">
        <v>42.484662954562836</v>
      </c>
      <c r="K338" s="10">
        <v>5</v>
      </c>
      <c r="L338" s="11">
        <v>245</v>
      </c>
      <c r="M338" s="31">
        <v>10</v>
      </c>
      <c r="N338" s="5"/>
      <c r="O338" s="5">
        <f>16.4*3600</f>
        <v>59039.999999999993</v>
      </c>
      <c r="P338" s="33">
        <f>3.1*60</f>
        <v>186</v>
      </c>
      <c r="Q338" s="5">
        <v>2</v>
      </c>
      <c r="R338" s="5">
        <v>3</v>
      </c>
      <c r="S338" s="5">
        <v>914</v>
      </c>
      <c r="T338" s="5" t="s">
        <v>48</v>
      </c>
      <c r="U338" s="5">
        <v>350</v>
      </c>
      <c r="V338" s="5" t="s">
        <v>48</v>
      </c>
      <c r="W338" s="5" t="s">
        <v>10</v>
      </c>
      <c r="X338" s="5">
        <v>41</v>
      </c>
      <c r="Y338" s="5">
        <v>1440</v>
      </c>
      <c r="Z338" s="5">
        <v>230</v>
      </c>
      <c r="AA338" s="5" t="s">
        <v>68</v>
      </c>
      <c r="AB338" s="5"/>
      <c r="AC338" s="5"/>
      <c r="AD338" s="5"/>
      <c r="AE338" s="5"/>
      <c r="AF338" s="5" t="s">
        <v>68</v>
      </c>
      <c r="AG338" s="5"/>
      <c r="AH338" s="12">
        <v>26056</v>
      </c>
      <c r="AI338" s="12"/>
      <c r="AJ338" s="12"/>
      <c r="AK338" s="12" t="s">
        <v>68</v>
      </c>
      <c r="AL338" s="12"/>
      <c r="AM338" s="12">
        <f t="shared" si="21"/>
        <v>26715</v>
      </c>
      <c r="AN338" s="12">
        <v>659</v>
      </c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</row>
    <row r="339" spans="1:240" s="2" customFormat="1" ht="30" customHeight="1">
      <c r="A339" s="5">
        <v>337</v>
      </c>
      <c r="B339" s="5" t="s">
        <v>68</v>
      </c>
      <c r="C339" s="5" t="s">
        <v>68</v>
      </c>
      <c r="D339" s="5"/>
      <c r="E339" s="5">
        <v>7800</v>
      </c>
      <c r="F339" s="5">
        <v>2400</v>
      </c>
      <c r="G339" s="5">
        <v>1700</v>
      </c>
      <c r="H339" s="5">
        <v>1830</v>
      </c>
      <c r="I339" s="5" t="s">
        <v>13</v>
      </c>
      <c r="J339" s="34">
        <v>50.808188757905754</v>
      </c>
      <c r="K339" s="10">
        <v>5</v>
      </c>
      <c r="L339" s="11">
        <v>293</v>
      </c>
      <c r="M339" s="31">
        <v>10</v>
      </c>
      <c r="N339" s="5"/>
      <c r="O339" s="5">
        <f>22*3600</f>
        <v>79200</v>
      </c>
      <c r="P339" s="33">
        <f>4.1*60</f>
        <v>245.99999999999997</v>
      </c>
      <c r="Q339" s="5">
        <v>2</v>
      </c>
      <c r="R339" s="5">
        <v>4</v>
      </c>
      <c r="S339" s="5">
        <v>914</v>
      </c>
      <c r="T339" s="5" t="s">
        <v>48</v>
      </c>
      <c r="U339" s="5">
        <v>350</v>
      </c>
      <c r="V339" s="5" t="s">
        <v>48</v>
      </c>
      <c r="W339" s="5" t="s">
        <v>10</v>
      </c>
      <c r="X339" s="5">
        <v>42</v>
      </c>
      <c r="Y339" s="5">
        <v>1230</v>
      </c>
      <c r="Z339" s="5">
        <v>200</v>
      </c>
      <c r="AA339" s="5" t="s">
        <v>68</v>
      </c>
      <c r="AB339" s="5"/>
      <c r="AC339" s="5"/>
      <c r="AD339" s="5"/>
      <c r="AE339" s="5"/>
      <c r="AF339" s="5" t="s">
        <v>68</v>
      </c>
      <c r="AG339" s="5"/>
      <c r="AH339" s="12">
        <v>28136</v>
      </c>
      <c r="AI339" s="12"/>
      <c r="AJ339" s="12"/>
      <c r="AK339" s="12" t="s">
        <v>68</v>
      </c>
      <c r="AL339" s="12"/>
      <c r="AM339" s="12">
        <f t="shared" si="21"/>
        <v>29043</v>
      </c>
      <c r="AN339" s="12">
        <v>907</v>
      </c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</row>
    <row r="340" spans="1:240" s="2" customFormat="1" ht="30" customHeight="1">
      <c r="A340" s="5">
        <v>338</v>
      </c>
      <c r="B340" s="5" t="s">
        <v>68</v>
      </c>
      <c r="C340" s="5" t="s">
        <v>68</v>
      </c>
      <c r="D340" s="5"/>
      <c r="E340" s="5">
        <v>7800</v>
      </c>
      <c r="F340" s="5">
        <v>2400</v>
      </c>
      <c r="G340" s="5">
        <v>1700</v>
      </c>
      <c r="H340" s="5">
        <v>1980</v>
      </c>
      <c r="I340" s="5" t="s">
        <v>13</v>
      </c>
      <c r="J340" s="34">
        <v>52.5422566336022</v>
      </c>
      <c r="K340" s="10">
        <v>5</v>
      </c>
      <c r="L340" s="11">
        <v>303</v>
      </c>
      <c r="M340" s="31">
        <v>10</v>
      </c>
      <c r="N340" s="5"/>
      <c r="O340" s="5">
        <f>20.5*3600</f>
        <v>73800</v>
      </c>
      <c r="P340" s="33">
        <f>4.1*60</f>
        <v>245.99999999999997</v>
      </c>
      <c r="Q340" s="5">
        <v>2</v>
      </c>
      <c r="R340" s="5">
        <v>4</v>
      </c>
      <c r="S340" s="5">
        <v>914</v>
      </c>
      <c r="T340" s="5" t="s">
        <v>48</v>
      </c>
      <c r="U340" s="5">
        <v>350</v>
      </c>
      <c r="V340" s="5" t="s">
        <v>48</v>
      </c>
      <c r="W340" s="5" t="s">
        <v>10</v>
      </c>
      <c r="X340" s="5">
        <v>42</v>
      </c>
      <c r="Y340" s="5">
        <v>1640</v>
      </c>
      <c r="Z340" s="5">
        <v>260</v>
      </c>
      <c r="AA340" s="5" t="s">
        <v>68</v>
      </c>
      <c r="AB340" s="5"/>
      <c r="AC340" s="5"/>
      <c r="AD340" s="5"/>
      <c r="AE340" s="5"/>
      <c r="AF340" s="5" t="s">
        <v>68</v>
      </c>
      <c r="AG340" s="5"/>
      <c r="AH340" s="12">
        <v>31311</v>
      </c>
      <c r="AI340" s="12"/>
      <c r="AJ340" s="12"/>
      <c r="AK340" s="12" t="s">
        <v>68</v>
      </c>
      <c r="AL340" s="12"/>
      <c r="AM340" s="12">
        <f t="shared" si="21"/>
        <v>32218</v>
      </c>
      <c r="AN340" s="12">
        <v>907</v>
      </c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</row>
    <row r="341" spans="1:240" s="2" customFormat="1" ht="30" customHeight="1">
      <c r="A341" s="5">
        <v>339</v>
      </c>
      <c r="B341" s="5" t="s">
        <v>68</v>
      </c>
      <c r="C341" s="5" t="s">
        <v>68</v>
      </c>
      <c r="D341" s="5"/>
      <c r="E341" s="5">
        <v>9000</v>
      </c>
      <c r="F341" s="5">
        <v>2400</v>
      </c>
      <c r="G341" s="5">
        <v>1700</v>
      </c>
      <c r="H341" s="5">
        <v>2200</v>
      </c>
      <c r="I341" s="5" t="s">
        <v>13</v>
      </c>
      <c r="J341" s="34">
        <v>56.530612747704012</v>
      </c>
      <c r="K341" s="10">
        <v>5</v>
      </c>
      <c r="L341" s="11">
        <v>326</v>
      </c>
      <c r="M341" s="31">
        <v>10</v>
      </c>
      <c r="N341" s="5"/>
      <c r="O341" s="5">
        <f>21.9*3600</f>
        <v>78840</v>
      </c>
      <c r="P341" s="33">
        <f>4.1*60</f>
        <v>245.99999999999997</v>
      </c>
      <c r="Q341" s="5">
        <v>2</v>
      </c>
      <c r="R341" s="5">
        <v>4</v>
      </c>
      <c r="S341" s="5">
        <v>914</v>
      </c>
      <c r="T341" s="5" t="s">
        <v>48</v>
      </c>
      <c r="U341" s="5">
        <v>350</v>
      </c>
      <c r="V341" s="5" t="s">
        <v>48</v>
      </c>
      <c r="W341" s="5" t="s">
        <v>10</v>
      </c>
      <c r="X341" s="5">
        <v>42</v>
      </c>
      <c r="Y341" s="5">
        <v>1920</v>
      </c>
      <c r="Z341" s="5">
        <v>300</v>
      </c>
      <c r="AA341" s="5" t="s">
        <v>68</v>
      </c>
      <c r="AB341" s="5"/>
      <c r="AC341" s="5"/>
      <c r="AD341" s="5"/>
      <c r="AE341" s="5"/>
      <c r="AF341" s="5" t="s">
        <v>68</v>
      </c>
      <c r="AG341" s="5"/>
      <c r="AH341" s="12">
        <v>33487</v>
      </c>
      <c r="AI341" s="12"/>
      <c r="AJ341" s="12"/>
      <c r="AK341" s="12" t="s">
        <v>68</v>
      </c>
      <c r="AL341" s="12"/>
      <c r="AM341" s="12">
        <f t="shared" si="21"/>
        <v>34394</v>
      </c>
      <c r="AN341" s="12">
        <v>907</v>
      </c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</row>
    <row r="342" spans="1:240" s="2" customFormat="1" ht="30" customHeight="1">
      <c r="A342" s="5">
        <v>340</v>
      </c>
      <c r="B342" s="5" t="s">
        <v>68</v>
      </c>
      <c r="C342" s="5" t="s">
        <v>68</v>
      </c>
      <c r="D342" s="5"/>
      <c r="E342" s="5">
        <v>9600</v>
      </c>
      <c r="F342" s="5">
        <v>2400</v>
      </c>
      <c r="G342" s="5">
        <v>1700</v>
      </c>
      <c r="H342" s="5">
        <v>2280</v>
      </c>
      <c r="I342" s="5" t="s">
        <v>13</v>
      </c>
      <c r="J342" s="34">
        <v>63.120070675350497</v>
      </c>
      <c r="K342" s="10">
        <v>5</v>
      </c>
      <c r="L342" s="11">
        <v>364</v>
      </c>
      <c r="M342" s="31">
        <v>10</v>
      </c>
      <c r="N342" s="5"/>
      <c r="O342" s="5">
        <f>27.5*3600</f>
        <v>99000</v>
      </c>
      <c r="P342" s="33">
        <f>5.1*60</f>
        <v>306</v>
      </c>
      <c r="Q342" s="5">
        <v>2</v>
      </c>
      <c r="R342" s="5">
        <v>5</v>
      </c>
      <c r="S342" s="5">
        <v>914</v>
      </c>
      <c r="T342" s="5" t="s">
        <v>48</v>
      </c>
      <c r="U342" s="5">
        <v>350</v>
      </c>
      <c r="V342" s="5" t="s">
        <v>48</v>
      </c>
      <c r="W342" s="5" t="s">
        <v>10</v>
      </c>
      <c r="X342" s="5">
        <v>43</v>
      </c>
      <c r="Y342" s="5">
        <v>1540</v>
      </c>
      <c r="Z342" s="5">
        <v>240</v>
      </c>
      <c r="AA342" s="5" t="s">
        <v>68</v>
      </c>
      <c r="AB342" s="5"/>
      <c r="AC342" s="5"/>
      <c r="AD342" s="5"/>
      <c r="AE342" s="5"/>
      <c r="AF342" s="5" t="s">
        <v>68</v>
      </c>
      <c r="AG342" s="5"/>
      <c r="AH342" s="12">
        <v>34309</v>
      </c>
      <c r="AI342" s="12"/>
      <c r="AJ342" s="12"/>
      <c r="AK342" s="12" t="s">
        <v>68</v>
      </c>
      <c r="AL342" s="12"/>
      <c r="AM342" s="12">
        <f t="shared" si="21"/>
        <v>35411</v>
      </c>
      <c r="AN342" s="12">
        <v>1102</v>
      </c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</row>
    <row r="343" spans="1:240" s="2" customFormat="1" ht="30" customHeight="1">
      <c r="A343" s="5">
        <v>341</v>
      </c>
      <c r="B343" s="5" t="s">
        <v>68</v>
      </c>
      <c r="C343" s="5" t="s">
        <v>68</v>
      </c>
      <c r="D343" s="5"/>
      <c r="E343" s="5">
        <v>9600</v>
      </c>
      <c r="F343" s="5">
        <v>2400</v>
      </c>
      <c r="G343" s="5">
        <v>1700</v>
      </c>
      <c r="H343" s="5">
        <v>2470</v>
      </c>
      <c r="I343" s="5" t="s">
        <v>13</v>
      </c>
      <c r="J343" s="34">
        <v>65.721172488895149</v>
      </c>
      <c r="K343" s="10">
        <v>5</v>
      </c>
      <c r="L343" s="11">
        <v>379</v>
      </c>
      <c r="M343" s="31">
        <v>10</v>
      </c>
      <c r="N343" s="5"/>
      <c r="O343" s="5">
        <f>25.6*3600</f>
        <v>92160</v>
      </c>
      <c r="P343" s="33">
        <f>5.1*60</f>
        <v>306</v>
      </c>
      <c r="Q343" s="5">
        <v>2</v>
      </c>
      <c r="R343" s="5">
        <v>5</v>
      </c>
      <c r="S343" s="5">
        <v>914</v>
      </c>
      <c r="T343" s="5" t="s">
        <v>48</v>
      </c>
      <c r="U343" s="5">
        <v>350</v>
      </c>
      <c r="V343" s="5" t="s">
        <v>48</v>
      </c>
      <c r="W343" s="5" t="s">
        <v>10</v>
      </c>
      <c r="X343" s="5">
        <v>43</v>
      </c>
      <c r="Y343" s="5">
        <v>2060</v>
      </c>
      <c r="Z343" s="5">
        <v>320</v>
      </c>
      <c r="AA343" s="5" t="s">
        <v>68</v>
      </c>
      <c r="AB343" s="5"/>
      <c r="AC343" s="5"/>
      <c r="AD343" s="5"/>
      <c r="AE343" s="5"/>
      <c r="AF343" s="5" t="s">
        <v>68</v>
      </c>
      <c r="AG343" s="5"/>
      <c r="AH343" s="12">
        <v>38178</v>
      </c>
      <c r="AI343" s="12"/>
      <c r="AJ343" s="12"/>
      <c r="AK343" s="12" t="s">
        <v>68</v>
      </c>
      <c r="AL343" s="12"/>
      <c r="AM343" s="12">
        <f t="shared" si="21"/>
        <v>39280</v>
      </c>
      <c r="AN343" s="12">
        <v>1102</v>
      </c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</row>
    <row r="344" spans="1:240" s="2" customFormat="1" ht="30" customHeight="1">
      <c r="A344" s="5">
        <v>342</v>
      </c>
      <c r="B344" s="5" t="s">
        <v>68</v>
      </c>
      <c r="C344" s="5" t="s">
        <v>68</v>
      </c>
      <c r="D344" s="5"/>
      <c r="E344" s="5">
        <v>11100</v>
      </c>
      <c r="F344" s="5">
        <v>2400</v>
      </c>
      <c r="G344" s="5">
        <v>1700</v>
      </c>
      <c r="H344" s="5">
        <v>2770</v>
      </c>
      <c r="I344" s="5" t="s">
        <v>13</v>
      </c>
      <c r="J344" s="34">
        <v>71.096782903554114</v>
      </c>
      <c r="K344" s="10">
        <v>5</v>
      </c>
      <c r="L344" s="11">
        <v>410</v>
      </c>
      <c r="M344" s="31">
        <v>10</v>
      </c>
      <c r="N344" s="5"/>
      <c r="O344" s="5">
        <f>27.4*3600</f>
        <v>98640</v>
      </c>
      <c r="P344" s="33">
        <f>5.1*60</f>
        <v>306</v>
      </c>
      <c r="Q344" s="5">
        <v>2</v>
      </c>
      <c r="R344" s="5">
        <v>5</v>
      </c>
      <c r="S344" s="5">
        <v>914</v>
      </c>
      <c r="T344" s="5" t="s">
        <v>48</v>
      </c>
      <c r="U344" s="5">
        <v>350</v>
      </c>
      <c r="V344" s="5" t="s">
        <v>48</v>
      </c>
      <c r="W344" s="5" t="s">
        <v>10</v>
      </c>
      <c r="X344" s="5">
        <v>43</v>
      </c>
      <c r="Y344" s="5">
        <v>2400</v>
      </c>
      <c r="Z344" s="5">
        <v>370</v>
      </c>
      <c r="AA344" s="5" t="s">
        <v>68</v>
      </c>
      <c r="AB344" s="5"/>
      <c r="AC344" s="5"/>
      <c r="AD344" s="5"/>
      <c r="AE344" s="5"/>
      <c r="AF344" s="5" t="s">
        <v>68</v>
      </c>
      <c r="AG344" s="5"/>
      <c r="AH344" s="12">
        <v>40907</v>
      </c>
      <c r="AI344" s="12"/>
      <c r="AJ344" s="12"/>
      <c r="AK344" s="12" t="s">
        <v>68</v>
      </c>
      <c r="AL344" s="12"/>
      <c r="AM344" s="12">
        <f t="shared" si="21"/>
        <v>42009</v>
      </c>
      <c r="AN344" s="12">
        <v>1102</v>
      </c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</row>
    <row r="345" spans="1:240" s="2" customFormat="1" ht="30" customHeight="1">
      <c r="A345" s="5">
        <v>343</v>
      </c>
      <c r="B345" s="5" t="s">
        <v>68</v>
      </c>
      <c r="C345" s="5" t="s">
        <v>68</v>
      </c>
      <c r="D345" s="5"/>
      <c r="E345" s="5">
        <v>11400</v>
      </c>
      <c r="F345" s="5">
        <v>2400</v>
      </c>
      <c r="G345" s="5">
        <v>1700</v>
      </c>
      <c r="H345" s="5">
        <v>2730</v>
      </c>
      <c r="I345" s="5" t="s">
        <v>13</v>
      </c>
      <c r="J345" s="34">
        <v>76.125579743073814</v>
      </c>
      <c r="K345" s="10">
        <v>5</v>
      </c>
      <c r="L345" s="11">
        <v>439</v>
      </c>
      <c r="M345" s="31">
        <v>10</v>
      </c>
      <c r="N345" s="5"/>
      <c r="O345" s="5">
        <f>33.1*3600</f>
        <v>119160</v>
      </c>
      <c r="P345" s="33">
        <f>6.1*60</f>
        <v>366</v>
      </c>
      <c r="Q345" s="5">
        <v>2</v>
      </c>
      <c r="R345" s="5">
        <v>6</v>
      </c>
      <c r="S345" s="5">
        <v>914</v>
      </c>
      <c r="T345" s="5" t="s">
        <v>48</v>
      </c>
      <c r="U345" s="5">
        <v>350</v>
      </c>
      <c r="V345" s="5" t="s">
        <v>48</v>
      </c>
      <c r="W345" s="5" t="s">
        <v>10</v>
      </c>
      <c r="X345" s="5">
        <v>44</v>
      </c>
      <c r="Y345" s="5">
        <v>1850</v>
      </c>
      <c r="Z345" s="5">
        <v>290</v>
      </c>
      <c r="AA345" s="5" t="s">
        <v>68</v>
      </c>
      <c r="AB345" s="5"/>
      <c r="AC345" s="5"/>
      <c r="AD345" s="5"/>
      <c r="AE345" s="5"/>
      <c r="AF345" s="5" t="s">
        <v>68</v>
      </c>
      <c r="AG345" s="5"/>
      <c r="AH345" s="12">
        <v>40624</v>
      </c>
      <c r="AI345" s="12"/>
      <c r="AJ345" s="12"/>
      <c r="AK345" s="12" t="s">
        <v>68</v>
      </c>
      <c r="AL345" s="12"/>
      <c r="AM345" s="12">
        <f t="shared" si="21"/>
        <v>41920</v>
      </c>
      <c r="AN345" s="12">
        <v>1296</v>
      </c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</row>
    <row r="346" spans="1:240" s="2" customFormat="1" ht="30" customHeight="1">
      <c r="A346" s="5">
        <v>344</v>
      </c>
      <c r="B346" s="5" t="s">
        <v>68</v>
      </c>
      <c r="C346" s="5" t="s">
        <v>68</v>
      </c>
      <c r="D346" s="5"/>
      <c r="E346" s="5">
        <v>11400</v>
      </c>
      <c r="F346" s="5">
        <v>2400</v>
      </c>
      <c r="G346" s="5">
        <v>1700</v>
      </c>
      <c r="H346" s="5">
        <v>2970</v>
      </c>
      <c r="I346" s="5" t="s">
        <v>13</v>
      </c>
      <c r="J346" s="34">
        <v>78.37986798147918</v>
      </c>
      <c r="K346" s="10">
        <v>5</v>
      </c>
      <c r="L346" s="11">
        <v>452</v>
      </c>
      <c r="M346" s="31">
        <v>10</v>
      </c>
      <c r="N346" s="5"/>
      <c r="O346" s="5">
        <f>30.7*3600</f>
        <v>110520</v>
      </c>
      <c r="P346" s="33">
        <f t="shared" ref="P346:P351" si="22">6.1*60</f>
        <v>366</v>
      </c>
      <c r="Q346" s="5">
        <v>2</v>
      </c>
      <c r="R346" s="5">
        <v>6</v>
      </c>
      <c r="S346" s="5">
        <v>914</v>
      </c>
      <c r="T346" s="5" t="s">
        <v>48</v>
      </c>
      <c r="U346" s="5">
        <v>350</v>
      </c>
      <c r="V346" s="5" t="s">
        <v>48</v>
      </c>
      <c r="W346" s="5" t="s">
        <v>10</v>
      </c>
      <c r="X346" s="5">
        <v>44</v>
      </c>
      <c r="Y346" s="5">
        <v>2470</v>
      </c>
      <c r="Z346" s="5">
        <v>380</v>
      </c>
      <c r="AA346" s="5" t="s">
        <v>68</v>
      </c>
      <c r="AB346" s="5"/>
      <c r="AC346" s="5"/>
      <c r="AD346" s="5"/>
      <c r="AE346" s="5"/>
      <c r="AF346" s="5" t="s">
        <v>68</v>
      </c>
      <c r="AG346" s="5"/>
      <c r="AH346" s="12">
        <v>45210</v>
      </c>
      <c r="AI346" s="12"/>
      <c r="AJ346" s="12"/>
      <c r="AK346" s="12" t="s">
        <v>68</v>
      </c>
      <c r="AL346" s="12"/>
      <c r="AM346" s="12">
        <f t="shared" si="21"/>
        <v>46506</v>
      </c>
      <c r="AN346" s="12">
        <v>1296</v>
      </c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</row>
    <row r="347" spans="1:240" s="2" customFormat="1" ht="30" customHeight="1">
      <c r="A347" s="5">
        <v>345</v>
      </c>
      <c r="B347" s="5" t="s">
        <v>68</v>
      </c>
      <c r="C347" s="5" t="s">
        <v>68</v>
      </c>
      <c r="D347" s="5"/>
      <c r="E347" s="5">
        <v>13200</v>
      </c>
      <c r="F347" s="5">
        <v>2400</v>
      </c>
      <c r="G347" s="5">
        <v>1700</v>
      </c>
      <c r="H347" s="5">
        <v>3320</v>
      </c>
      <c r="I347" s="5" t="s">
        <v>13</v>
      </c>
      <c r="J347" s="34">
        <v>84.795919121556025</v>
      </c>
      <c r="K347" s="10">
        <v>5</v>
      </c>
      <c r="L347" s="11">
        <v>489</v>
      </c>
      <c r="M347" s="31">
        <v>10</v>
      </c>
      <c r="N347" s="5"/>
      <c r="O347" s="5">
        <f>32.8*3600</f>
        <v>118079.99999999999</v>
      </c>
      <c r="P347" s="33">
        <f t="shared" si="22"/>
        <v>366</v>
      </c>
      <c r="Q347" s="5">
        <v>2</v>
      </c>
      <c r="R347" s="5">
        <v>6</v>
      </c>
      <c r="S347" s="5">
        <v>914</v>
      </c>
      <c r="T347" s="5" t="s">
        <v>48</v>
      </c>
      <c r="U347" s="5">
        <v>350</v>
      </c>
      <c r="V347" s="5" t="s">
        <v>48</v>
      </c>
      <c r="W347" s="5" t="s">
        <v>10</v>
      </c>
      <c r="X347" s="5">
        <v>44</v>
      </c>
      <c r="Y347" s="5">
        <v>2880</v>
      </c>
      <c r="Z347" s="5">
        <v>450</v>
      </c>
      <c r="AA347" s="5" t="s">
        <v>68</v>
      </c>
      <c r="AB347" s="5"/>
      <c r="AC347" s="5"/>
      <c r="AD347" s="5"/>
      <c r="AE347" s="5"/>
      <c r="AF347" s="5" t="s">
        <v>68</v>
      </c>
      <c r="AG347" s="5"/>
      <c r="AH347" s="12">
        <v>48503</v>
      </c>
      <c r="AI347" s="12"/>
      <c r="AJ347" s="12"/>
      <c r="AK347" s="12" t="s">
        <v>68</v>
      </c>
      <c r="AL347" s="12"/>
      <c r="AM347" s="12">
        <f t="shared" si="21"/>
        <v>49799</v>
      </c>
      <c r="AN347" s="12">
        <v>1296</v>
      </c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</row>
    <row r="348" spans="1:240" s="2" customFormat="1" ht="30" customHeight="1">
      <c r="A348" s="5">
        <v>346</v>
      </c>
      <c r="B348" s="5" t="s">
        <v>68</v>
      </c>
      <c r="C348" s="5" t="s">
        <v>68</v>
      </c>
      <c r="D348" s="5"/>
      <c r="E348" s="5">
        <v>11400</v>
      </c>
      <c r="F348" s="5">
        <v>2400</v>
      </c>
      <c r="G348" s="5">
        <v>1700</v>
      </c>
      <c r="H348" s="5">
        <v>3200</v>
      </c>
      <c r="I348" s="5" t="s">
        <v>13</v>
      </c>
      <c r="J348" s="34">
        <v>78.0330544063399</v>
      </c>
      <c r="K348" s="10">
        <v>5</v>
      </c>
      <c r="L348" s="11">
        <v>450</v>
      </c>
      <c r="M348" s="31">
        <v>10</v>
      </c>
      <c r="N348" s="5"/>
      <c r="O348" s="5">
        <f>28.7*3600</f>
        <v>103320</v>
      </c>
      <c r="P348" s="33">
        <f t="shared" si="22"/>
        <v>366</v>
      </c>
      <c r="Q348" s="5">
        <v>2</v>
      </c>
      <c r="R348" s="5">
        <v>6</v>
      </c>
      <c r="S348" s="5">
        <v>914</v>
      </c>
      <c r="T348" s="5" t="s">
        <v>48</v>
      </c>
      <c r="U348" s="5">
        <v>350</v>
      </c>
      <c r="V348" s="5" t="s">
        <v>48</v>
      </c>
      <c r="W348" s="5" t="s">
        <v>10</v>
      </c>
      <c r="X348" s="5">
        <v>44</v>
      </c>
      <c r="Y348" s="5">
        <v>3080</v>
      </c>
      <c r="Z348" s="5">
        <v>480</v>
      </c>
      <c r="AA348" s="5" t="s">
        <v>68</v>
      </c>
      <c r="AB348" s="5"/>
      <c r="AC348" s="5"/>
      <c r="AD348" s="5"/>
      <c r="AE348" s="5"/>
      <c r="AF348" s="5" t="s">
        <v>68</v>
      </c>
      <c r="AG348" s="5"/>
      <c r="AH348" s="12">
        <v>52202</v>
      </c>
      <c r="AI348" s="12"/>
      <c r="AJ348" s="12"/>
      <c r="AK348" s="12" t="s">
        <v>68</v>
      </c>
      <c r="AL348" s="12"/>
      <c r="AM348" s="12">
        <f t="shared" si="21"/>
        <v>53498</v>
      </c>
      <c r="AN348" s="12">
        <v>1296</v>
      </c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</row>
    <row r="349" spans="1:240" s="2" customFormat="1" ht="30" customHeight="1">
      <c r="A349" s="5">
        <v>347</v>
      </c>
      <c r="B349" s="5" t="s">
        <v>68</v>
      </c>
      <c r="C349" s="5" t="s">
        <v>68</v>
      </c>
      <c r="D349" s="5"/>
      <c r="E349" s="5">
        <v>11400</v>
      </c>
      <c r="F349" s="5">
        <v>2400</v>
      </c>
      <c r="G349" s="5">
        <v>1700</v>
      </c>
      <c r="H349" s="5">
        <v>3430</v>
      </c>
      <c r="I349" s="5" t="s">
        <v>13</v>
      </c>
      <c r="J349" s="34">
        <v>75.605359380364874</v>
      </c>
      <c r="K349" s="10">
        <v>5</v>
      </c>
      <c r="L349" s="11">
        <v>436</v>
      </c>
      <c r="M349" s="31">
        <v>10</v>
      </c>
      <c r="N349" s="5"/>
      <c r="O349" s="5">
        <f>27*3600</f>
        <v>97200</v>
      </c>
      <c r="P349" s="33">
        <f t="shared" si="22"/>
        <v>366</v>
      </c>
      <c r="Q349" s="5">
        <v>2</v>
      </c>
      <c r="R349" s="5">
        <v>6</v>
      </c>
      <c r="S349" s="5">
        <v>914</v>
      </c>
      <c r="T349" s="5" t="s">
        <v>48</v>
      </c>
      <c r="U349" s="5">
        <v>350</v>
      </c>
      <c r="V349" s="5" t="s">
        <v>48</v>
      </c>
      <c r="W349" s="5" t="s">
        <v>10</v>
      </c>
      <c r="X349" s="5">
        <v>44</v>
      </c>
      <c r="Y349" s="5">
        <v>3700</v>
      </c>
      <c r="Z349" s="5">
        <v>570</v>
      </c>
      <c r="AA349" s="5" t="s">
        <v>68</v>
      </c>
      <c r="AB349" s="5"/>
      <c r="AC349" s="5"/>
      <c r="AD349" s="5"/>
      <c r="AE349" s="5"/>
      <c r="AF349" s="5" t="s">
        <v>68</v>
      </c>
      <c r="AG349" s="5"/>
      <c r="AH349" s="12">
        <v>54936</v>
      </c>
      <c r="AI349" s="12"/>
      <c r="AJ349" s="12"/>
      <c r="AK349" s="12" t="s">
        <v>68</v>
      </c>
      <c r="AL349" s="12"/>
      <c r="AM349" s="12">
        <f t="shared" si="21"/>
        <v>56232</v>
      </c>
      <c r="AN349" s="12">
        <v>1296</v>
      </c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</row>
    <row r="350" spans="1:240" s="2" customFormat="1" ht="30" customHeight="1">
      <c r="A350" s="5">
        <v>348</v>
      </c>
      <c r="B350" s="5" t="s">
        <v>68</v>
      </c>
      <c r="C350" s="5" t="s">
        <v>68</v>
      </c>
      <c r="D350" s="5"/>
      <c r="E350" s="5">
        <v>13200</v>
      </c>
      <c r="F350" s="5">
        <v>2400</v>
      </c>
      <c r="G350" s="5">
        <v>1700</v>
      </c>
      <c r="H350" s="5">
        <v>3590</v>
      </c>
      <c r="I350" s="5" t="s">
        <v>13</v>
      </c>
      <c r="J350" s="34">
        <v>84.449105546416732</v>
      </c>
      <c r="K350" s="10">
        <v>5</v>
      </c>
      <c r="L350" s="11">
        <v>487</v>
      </c>
      <c r="M350" s="31">
        <v>10</v>
      </c>
      <c r="N350" s="5"/>
      <c r="O350" s="5">
        <f>31*3600</f>
        <v>111600</v>
      </c>
      <c r="P350" s="33">
        <f t="shared" si="22"/>
        <v>366</v>
      </c>
      <c r="Q350" s="5">
        <v>2</v>
      </c>
      <c r="R350" s="5">
        <v>6</v>
      </c>
      <c r="S350" s="5">
        <v>914</v>
      </c>
      <c r="T350" s="5" t="s">
        <v>48</v>
      </c>
      <c r="U350" s="5">
        <v>350</v>
      </c>
      <c r="V350" s="5" t="s">
        <v>48</v>
      </c>
      <c r="W350" s="5" t="s">
        <v>10</v>
      </c>
      <c r="X350" s="5">
        <v>44</v>
      </c>
      <c r="Y350" s="5">
        <v>3600</v>
      </c>
      <c r="Z350" s="5">
        <v>550</v>
      </c>
      <c r="AA350" s="5" t="s">
        <v>68</v>
      </c>
      <c r="AB350" s="5"/>
      <c r="AC350" s="5"/>
      <c r="AD350" s="5"/>
      <c r="AE350" s="5"/>
      <c r="AF350" s="5" t="s">
        <v>68</v>
      </c>
      <c r="AG350" s="5"/>
      <c r="AH350" s="12">
        <v>56070</v>
      </c>
      <c r="AI350" s="12"/>
      <c r="AJ350" s="12"/>
      <c r="AK350" s="12" t="s">
        <v>68</v>
      </c>
      <c r="AL350" s="12"/>
      <c r="AM350" s="12">
        <f t="shared" si="21"/>
        <v>57366</v>
      </c>
      <c r="AN350" s="12">
        <v>1296</v>
      </c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</row>
    <row r="351" spans="1:240" s="2" customFormat="1" ht="30" customHeight="1">
      <c r="A351" s="5">
        <v>349</v>
      </c>
      <c r="B351" s="5" t="s">
        <v>68</v>
      </c>
      <c r="C351" s="5" t="s">
        <v>68</v>
      </c>
      <c r="D351" s="5"/>
      <c r="E351" s="5">
        <v>13200</v>
      </c>
      <c r="F351" s="5">
        <v>2400</v>
      </c>
      <c r="G351" s="5">
        <v>1700</v>
      </c>
      <c r="H351" s="5">
        <v>3860</v>
      </c>
      <c r="I351" s="5" t="s">
        <v>13</v>
      </c>
      <c r="J351" s="34">
        <v>82.715037670720292</v>
      </c>
      <c r="K351" s="10">
        <v>5</v>
      </c>
      <c r="L351" s="11">
        <v>477</v>
      </c>
      <c r="M351" s="31">
        <v>10</v>
      </c>
      <c r="N351" s="5"/>
      <c r="O351" s="5">
        <f>29.4*3600</f>
        <v>105840</v>
      </c>
      <c r="P351" s="33">
        <f t="shared" si="22"/>
        <v>366</v>
      </c>
      <c r="Q351" s="5">
        <v>2</v>
      </c>
      <c r="R351" s="5">
        <v>6</v>
      </c>
      <c r="S351" s="5">
        <v>914</v>
      </c>
      <c r="T351" s="5" t="s">
        <v>48</v>
      </c>
      <c r="U351" s="5">
        <v>350</v>
      </c>
      <c r="V351" s="5" t="s">
        <v>48</v>
      </c>
      <c r="W351" s="5" t="s">
        <v>10</v>
      </c>
      <c r="X351" s="5">
        <v>44</v>
      </c>
      <c r="Y351" s="5">
        <v>4320</v>
      </c>
      <c r="Z351" s="5">
        <v>660</v>
      </c>
      <c r="AA351" s="5" t="s">
        <v>68</v>
      </c>
      <c r="AB351" s="5"/>
      <c r="AC351" s="5"/>
      <c r="AD351" s="5"/>
      <c r="AE351" s="5"/>
      <c r="AF351" s="5" t="s">
        <v>68</v>
      </c>
      <c r="AG351" s="5"/>
      <c r="AH351" s="12">
        <v>59180</v>
      </c>
      <c r="AI351" s="12"/>
      <c r="AJ351" s="12"/>
      <c r="AK351" s="12" t="s">
        <v>68</v>
      </c>
      <c r="AL351" s="12"/>
      <c r="AM351" s="12">
        <f t="shared" si="21"/>
        <v>60476</v>
      </c>
      <c r="AN351" s="12">
        <v>1296</v>
      </c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</row>
    <row r="352" spans="1:240" s="2" customFormat="1" ht="30" customHeight="1">
      <c r="A352" s="5">
        <v>350</v>
      </c>
      <c r="B352" s="5" t="s">
        <v>68</v>
      </c>
      <c r="C352" s="5" t="s">
        <v>68</v>
      </c>
      <c r="D352" s="5"/>
      <c r="E352" s="5">
        <v>13200</v>
      </c>
      <c r="F352" s="5">
        <v>2400</v>
      </c>
      <c r="G352" s="5">
        <v>1700</v>
      </c>
      <c r="H352" s="5">
        <v>3190</v>
      </c>
      <c r="I352" s="5" t="s">
        <v>13</v>
      </c>
      <c r="J352" s="34">
        <v>89.304495598366756</v>
      </c>
      <c r="K352" s="10">
        <v>5</v>
      </c>
      <c r="L352" s="11">
        <v>515</v>
      </c>
      <c r="M352" s="31">
        <v>10</v>
      </c>
      <c r="N352" s="5"/>
      <c r="O352" s="5">
        <f>38.6*3600</f>
        <v>138960</v>
      </c>
      <c r="P352" s="33">
        <f>7.1*60</f>
        <v>426</v>
      </c>
      <c r="Q352" s="5">
        <v>2</v>
      </c>
      <c r="R352" s="5">
        <v>7</v>
      </c>
      <c r="S352" s="5">
        <v>914</v>
      </c>
      <c r="T352" s="5" t="s">
        <v>48</v>
      </c>
      <c r="U352" s="5">
        <v>350</v>
      </c>
      <c r="V352" s="5" t="s">
        <v>48</v>
      </c>
      <c r="W352" s="5" t="s">
        <v>10</v>
      </c>
      <c r="X352" s="5">
        <v>44</v>
      </c>
      <c r="Y352" s="5">
        <v>2160</v>
      </c>
      <c r="Z352" s="5">
        <v>340</v>
      </c>
      <c r="AA352" s="5" t="s">
        <v>68</v>
      </c>
      <c r="AB352" s="5"/>
      <c r="AC352" s="5"/>
      <c r="AD352" s="5"/>
      <c r="AE352" s="5"/>
      <c r="AF352" s="5" t="s">
        <v>68</v>
      </c>
      <c r="AG352" s="5"/>
      <c r="AH352" s="12">
        <v>46785</v>
      </c>
      <c r="AI352" s="12"/>
      <c r="AJ352" s="12"/>
      <c r="AK352" s="12" t="s">
        <v>68</v>
      </c>
      <c r="AL352" s="12"/>
      <c r="AM352" s="12">
        <f t="shared" si="21"/>
        <v>48297</v>
      </c>
      <c r="AN352" s="12">
        <v>1512</v>
      </c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</row>
    <row r="353" spans="1:240" s="2" customFormat="1" ht="30" customHeight="1">
      <c r="A353" s="5">
        <v>351</v>
      </c>
      <c r="B353" s="5" t="s">
        <v>68</v>
      </c>
      <c r="C353" s="5" t="s">
        <v>68</v>
      </c>
      <c r="D353" s="5"/>
      <c r="E353" s="5">
        <v>13200</v>
      </c>
      <c r="F353" s="5">
        <v>2400</v>
      </c>
      <c r="G353" s="5">
        <v>1700</v>
      </c>
      <c r="H353" s="5">
        <v>3460</v>
      </c>
      <c r="I353" s="5" t="s">
        <v>13</v>
      </c>
      <c r="J353" s="34">
        <v>91.732190624341797</v>
      </c>
      <c r="K353" s="10">
        <v>5</v>
      </c>
      <c r="L353" s="11">
        <v>529</v>
      </c>
      <c r="M353" s="31">
        <v>10</v>
      </c>
      <c r="N353" s="5"/>
      <c r="O353" s="5">
        <f>35.8*3600</f>
        <v>128879.99999999999</v>
      </c>
      <c r="P353" s="33">
        <f>7.1*60</f>
        <v>426</v>
      </c>
      <c r="Q353" s="5">
        <v>2</v>
      </c>
      <c r="R353" s="5">
        <v>7</v>
      </c>
      <c r="S353" s="5">
        <v>914</v>
      </c>
      <c r="T353" s="5" t="s">
        <v>48</v>
      </c>
      <c r="U353" s="5">
        <v>350</v>
      </c>
      <c r="V353" s="5" t="s">
        <v>48</v>
      </c>
      <c r="W353" s="5" t="s">
        <v>10</v>
      </c>
      <c r="X353" s="5">
        <v>44</v>
      </c>
      <c r="Y353" s="5">
        <v>2880</v>
      </c>
      <c r="Z353" s="5">
        <v>450</v>
      </c>
      <c r="AA353" s="5" t="s">
        <v>68</v>
      </c>
      <c r="AB353" s="5"/>
      <c r="AC353" s="5"/>
      <c r="AD353" s="5"/>
      <c r="AE353" s="5"/>
      <c r="AF353" s="5" t="s">
        <v>68</v>
      </c>
      <c r="AG353" s="5"/>
      <c r="AH353" s="12">
        <v>52100</v>
      </c>
      <c r="AI353" s="12"/>
      <c r="AJ353" s="12"/>
      <c r="AK353" s="12" t="s">
        <v>68</v>
      </c>
      <c r="AL353" s="12"/>
      <c r="AM353" s="12">
        <f t="shared" si="21"/>
        <v>53612</v>
      </c>
      <c r="AN353" s="12">
        <v>1512</v>
      </c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</row>
    <row r="354" spans="1:240" s="2" customFormat="1" ht="30" customHeight="1">
      <c r="A354" s="5">
        <v>352</v>
      </c>
      <c r="B354" s="5" t="s">
        <v>68</v>
      </c>
      <c r="C354" s="5" t="s">
        <v>68</v>
      </c>
      <c r="D354" s="5"/>
      <c r="E354" s="5">
        <v>13200</v>
      </c>
      <c r="F354" s="5">
        <v>2400</v>
      </c>
      <c r="G354" s="5">
        <v>1700</v>
      </c>
      <c r="H354" s="5">
        <v>3730</v>
      </c>
      <c r="I354" s="5" t="s">
        <v>13</v>
      </c>
      <c r="J354" s="34">
        <v>90.691749898923931</v>
      </c>
      <c r="K354" s="10">
        <v>5</v>
      </c>
      <c r="L354" s="11">
        <v>523</v>
      </c>
      <c r="M354" s="31">
        <v>10</v>
      </c>
      <c r="N354" s="5"/>
      <c r="O354" s="5">
        <f>33.5*3600</f>
        <v>120600</v>
      </c>
      <c r="P354" s="33">
        <f>7.1*60</f>
        <v>426</v>
      </c>
      <c r="Q354" s="5">
        <v>2</v>
      </c>
      <c r="R354" s="5">
        <v>7</v>
      </c>
      <c r="S354" s="5">
        <v>914</v>
      </c>
      <c r="T354" s="5" t="s">
        <v>48</v>
      </c>
      <c r="U354" s="5">
        <v>350</v>
      </c>
      <c r="V354" s="5" t="s">
        <v>48</v>
      </c>
      <c r="W354" s="5" t="s">
        <v>10</v>
      </c>
      <c r="X354" s="5">
        <v>44</v>
      </c>
      <c r="Y354" s="5">
        <v>3600</v>
      </c>
      <c r="Z354" s="5">
        <v>550</v>
      </c>
      <c r="AA354" s="5" t="s">
        <v>68</v>
      </c>
      <c r="AB354" s="5"/>
      <c r="AC354" s="5"/>
      <c r="AD354" s="5"/>
      <c r="AE354" s="5"/>
      <c r="AF354" s="5" t="s">
        <v>68</v>
      </c>
      <c r="AG354" s="5"/>
      <c r="AH354" s="12">
        <v>59691</v>
      </c>
      <c r="AI354" s="12"/>
      <c r="AJ354" s="12"/>
      <c r="AK354" s="12" t="s">
        <v>68</v>
      </c>
      <c r="AL354" s="12"/>
      <c r="AM354" s="12">
        <f t="shared" si="21"/>
        <v>61203</v>
      </c>
      <c r="AN354" s="12">
        <v>1512</v>
      </c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</row>
    <row r="355" spans="1:240" s="2" customFormat="1" ht="30" customHeight="1">
      <c r="A355" s="5">
        <v>353</v>
      </c>
      <c r="B355" s="5" t="s">
        <v>68</v>
      </c>
      <c r="C355" s="5" t="s">
        <v>68</v>
      </c>
      <c r="D355" s="5"/>
      <c r="E355" s="5">
        <v>13200</v>
      </c>
      <c r="F355" s="5">
        <v>2400</v>
      </c>
      <c r="G355" s="5">
        <v>1700</v>
      </c>
      <c r="H355" s="5">
        <v>4000</v>
      </c>
      <c r="I355" s="5" t="s">
        <v>13</v>
      </c>
      <c r="J355" s="34">
        <v>88.437461660518551</v>
      </c>
      <c r="K355" s="10">
        <v>5</v>
      </c>
      <c r="L355" s="11">
        <v>510</v>
      </c>
      <c r="M355" s="31">
        <v>10</v>
      </c>
      <c r="N355" s="5"/>
      <c r="O355" s="5">
        <f>31.5*3600</f>
        <v>113400</v>
      </c>
      <c r="P355" s="33">
        <f>7.1*60</f>
        <v>426</v>
      </c>
      <c r="Q355" s="5">
        <v>2</v>
      </c>
      <c r="R355" s="5">
        <v>7</v>
      </c>
      <c r="S355" s="5">
        <v>914</v>
      </c>
      <c r="T355" s="5" t="s">
        <v>48</v>
      </c>
      <c r="U355" s="5">
        <v>350</v>
      </c>
      <c r="V355" s="5" t="s">
        <v>48</v>
      </c>
      <c r="W355" s="5" t="s">
        <v>10</v>
      </c>
      <c r="X355" s="5">
        <v>44</v>
      </c>
      <c r="Y355" s="5">
        <v>4320</v>
      </c>
      <c r="Z355" s="5">
        <v>660</v>
      </c>
      <c r="AA355" s="5" t="s">
        <v>68</v>
      </c>
      <c r="AB355" s="5"/>
      <c r="AC355" s="5"/>
      <c r="AD355" s="5"/>
      <c r="AE355" s="5"/>
      <c r="AF355" s="5" t="s">
        <v>68</v>
      </c>
      <c r="AG355" s="5"/>
      <c r="AH355" s="12">
        <v>62836</v>
      </c>
      <c r="AI355" s="12"/>
      <c r="AJ355" s="12"/>
      <c r="AK355" s="12" t="s">
        <v>68</v>
      </c>
      <c r="AL355" s="12"/>
      <c r="AM355" s="12">
        <f t="shared" si="21"/>
        <v>64348</v>
      </c>
      <c r="AN355" s="12">
        <v>1512</v>
      </c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</row>
    <row r="356" spans="1:240" s="2" customFormat="1" ht="30" customHeight="1">
      <c r="A356" s="5">
        <v>354</v>
      </c>
      <c r="B356" s="5" t="s">
        <v>68</v>
      </c>
      <c r="C356" s="5"/>
      <c r="D356" s="5"/>
      <c r="E356" s="5">
        <v>1219.2</v>
      </c>
      <c r="F356" s="5">
        <v>1009.7</v>
      </c>
      <c r="G356" s="5">
        <v>1028.7</v>
      </c>
      <c r="H356" s="5">
        <v>149.69999999999999</v>
      </c>
      <c r="I356" s="5" t="s">
        <v>55</v>
      </c>
      <c r="J356" s="5" t="s">
        <v>48</v>
      </c>
      <c r="K356" s="5" t="s">
        <v>48</v>
      </c>
      <c r="L356" s="11">
        <v>62</v>
      </c>
      <c r="M356" s="5" t="s">
        <v>48</v>
      </c>
      <c r="N356" s="5" t="s">
        <v>48</v>
      </c>
      <c r="O356" s="5" t="s">
        <v>48</v>
      </c>
      <c r="P356" s="5" t="s">
        <v>48</v>
      </c>
      <c r="Q356" s="5">
        <v>1</v>
      </c>
      <c r="R356" s="5">
        <v>1</v>
      </c>
      <c r="S356" s="5">
        <v>609.6</v>
      </c>
      <c r="T356" s="5" t="s">
        <v>48</v>
      </c>
      <c r="U356" s="5">
        <v>1140</v>
      </c>
      <c r="V356" s="5" t="s">
        <v>48</v>
      </c>
      <c r="W356" s="5" t="s">
        <v>10</v>
      </c>
      <c r="X356" s="5" t="s">
        <v>48</v>
      </c>
      <c r="Y356" s="5" t="s">
        <v>48</v>
      </c>
      <c r="Z356" s="5" t="s">
        <v>48</v>
      </c>
      <c r="AA356" s="5" t="s">
        <v>68</v>
      </c>
      <c r="AB356" s="5"/>
      <c r="AC356" s="5"/>
      <c r="AD356" s="5"/>
      <c r="AE356" s="5"/>
      <c r="AF356" s="5" t="s">
        <v>68</v>
      </c>
      <c r="AG356" s="5"/>
      <c r="AH356" s="12" t="s">
        <v>48</v>
      </c>
      <c r="AI356" s="12"/>
      <c r="AJ356" s="12"/>
      <c r="AK356" s="12"/>
      <c r="AL356" s="12"/>
      <c r="AM356" s="12"/>
      <c r="AN356" s="12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</row>
    <row r="357" spans="1:240" s="3" customFormat="1" ht="30" customHeight="1">
      <c r="A357" s="5">
        <v>355</v>
      </c>
      <c r="B357" s="5" t="s">
        <v>68</v>
      </c>
      <c r="C357" s="5"/>
      <c r="D357" s="5"/>
      <c r="E357" s="5">
        <v>1308</v>
      </c>
      <c r="F357" s="5">
        <v>1107</v>
      </c>
      <c r="G357" s="5">
        <v>1095</v>
      </c>
      <c r="H357" s="5">
        <v>143</v>
      </c>
      <c r="I357" s="5" t="s">
        <v>52</v>
      </c>
      <c r="J357" s="5" t="s">
        <v>48</v>
      </c>
      <c r="K357" s="10">
        <v>5</v>
      </c>
      <c r="L357" s="11">
        <v>30</v>
      </c>
      <c r="M357" s="5" t="s">
        <v>48</v>
      </c>
      <c r="N357" s="5" t="s">
        <v>48</v>
      </c>
      <c r="O357" s="5">
        <v>4078</v>
      </c>
      <c r="P357" s="5" t="s">
        <v>48</v>
      </c>
      <c r="Q357" s="5" t="s">
        <v>48</v>
      </c>
      <c r="R357" s="5"/>
      <c r="S357" s="5" t="s">
        <v>48</v>
      </c>
      <c r="T357" s="5" t="s">
        <v>48</v>
      </c>
      <c r="U357" s="5">
        <v>515</v>
      </c>
      <c r="V357" s="5" t="s">
        <v>48</v>
      </c>
      <c r="W357" s="5" t="s">
        <v>10</v>
      </c>
      <c r="X357" s="5">
        <v>69.5</v>
      </c>
      <c r="Y357" s="5" t="s">
        <v>48</v>
      </c>
      <c r="Z357" s="5" t="s">
        <v>48</v>
      </c>
      <c r="AA357" s="5" t="s">
        <v>68</v>
      </c>
      <c r="AB357" s="5"/>
      <c r="AC357" s="5"/>
      <c r="AD357" s="5"/>
      <c r="AE357" s="5"/>
      <c r="AF357" s="5" t="s">
        <v>68</v>
      </c>
      <c r="AG357" s="5"/>
      <c r="AH357" s="16" t="s">
        <v>48</v>
      </c>
      <c r="AI357" s="16"/>
      <c r="AJ357" s="16"/>
      <c r="AK357" s="16"/>
      <c r="AL357" s="16"/>
      <c r="AM357" s="16"/>
      <c r="AN357" s="16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</row>
    <row r="358" spans="1:240" s="3" customFormat="1" ht="30" customHeight="1">
      <c r="A358" s="5">
        <v>356</v>
      </c>
      <c r="B358" s="5" t="s">
        <v>68</v>
      </c>
      <c r="C358" s="5"/>
      <c r="D358" s="5"/>
      <c r="E358" s="5">
        <v>820</v>
      </c>
      <c r="F358" s="5">
        <v>1336</v>
      </c>
      <c r="G358" s="5">
        <v>1030</v>
      </c>
      <c r="H358" s="5">
        <v>47</v>
      </c>
      <c r="I358" s="5" t="s">
        <v>52</v>
      </c>
      <c r="J358" s="5">
        <v>1.9</v>
      </c>
      <c r="K358" s="10">
        <v>5</v>
      </c>
      <c r="L358" s="11">
        <v>10.8</v>
      </c>
      <c r="M358" s="32">
        <v>5</v>
      </c>
      <c r="N358" s="5">
        <v>42</v>
      </c>
      <c r="O358" s="5">
        <v>7100</v>
      </c>
      <c r="P358" s="5" t="s">
        <v>48</v>
      </c>
      <c r="Q358" s="5" t="s">
        <v>48</v>
      </c>
      <c r="R358" s="5">
        <v>1</v>
      </c>
      <c r="S358" s="5" t="s">
        <v>48</v>
      </c>
      <c r="T358" s="5" t="s">
        <v>48</v>
      </c>
      <c r="U358" s="5" t="s">
        <v>48</v>
      </c>
      <c r="V358" s="5">
        <f>0.78*R358</f>
        <v>0.78</v>
      </c>
      <c r="W358" s="5" t="s">
        <v>18</v>
      </c>
      <c r="X358" s="5">
        <v>46</v>
      </c>
      <c r="Y358" s="5" t="s">
        <v>48</v>
      </c>
      <c r="Z358" s="5" t="s">
        <v>48</v>
      </c>
      <c r="AA358" s="5" t="s">
        <v>68</v>
      </c>
      <c r="AB358" s="5"/>
      <c r="AC358" s="5"/>
      <c r="AD358" s="5"/>
      <c r="AE358" s="5"/>
      <c r="AF358" s="5" t="s">
        <v>68</v>
      </c>
      <c r="AG358" s="5"/>
      <c r="AH358" s="16" t="s">
        <v>48</v>
      </c>
      <c r="AI358" s="16"/>
      <c r="AJ358" s="16"/>
      <c r="AK358" s="16"/>
      <c r="AL358" s="16"/>
      <c r="AM358" s="16"/>
      <c r="AN358" s="16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</row>
    <row r="359" spans="1:240" s="3" customFormat="1" ht="30" customHeight="1">
      <c r="A359" s="5">
        <v>357</v>
      </c>
      <c r="B359" s="5" t="s">
        <v>68</v>
      </c>
      <c r="C359" s="5"/>
      <c r="D359" s="5"/>
      <c r="E359" s="5">
        <v>820</v>
      </c>
      <c r="F359" s="5">
        <v>1336</v>
      </c>
      <c r="G359" s="5">
        <v>1030</v>
      </c>
      <c r="H359" s="5">
        <v>53</v>
      </c>
      <c r="I359" s="5" t="s">
        <v>52</v>
      </c>
      <c r="J359" s="5">
        <v>2.2000000000000002</v>
      </c>
      <c r="K359" s="10">
        <v>5</v>
      </c>
      <c r="L359" s="11">
        <v>12.8</v>
      </c>
      <c r="M359" s="32">
        <v>5</v>
      </c>
      <c r="N359" s="5">
        <v>54</v>
      </c>
      <c r="O359" s="5">
        <v>6700</v>
      </c>
      <c r="P359" s="5" t="s">
        <v>48</v>
      </c>
      <c r="Q359" s="5" t="s">
        <v>48</v>
      </c>
      <c r="R359" s="5">
        <v>1</v>
      </c>
      <c r="S359" s="5" t="s">
        <v>48</v>
      </c>
      <c r="T359" s="5" t="s">
        <v>48</v>
      </c>
      <c r="U359" s="5" t="s">
        <v>48</v>
      </c>
      <c r="V359" s="5">
        <f>0.78*R359</f>
        <v>0.78</v>
      </c>
      <c r="W359" s="5" t="s">
        <v>18</v>
      </c>
      <c r="X359" s="5">
        <v>46</v>
      </c>
      <c r="Y359" s="5" t="s">
        <v>48</v>
      </c>
      <c r="Z359" s="5" t="s">
        <v>48</v>
      </c>
      <c r="AA359" s="5" t="s">
        <v>68</v>
      </c>
      <c r="AB359" s="5"/>
      <c r="AC359" s="5"/>
      <c r="AD359" s="5"/>
      <c r="AE359" s="5"/>
      <c r="AF359" s="5" t="s">
        <v>68</v>
      </c>
      <c r="AG359" s="5"/>
      <c r="AH359" s="16" t="s">
        <v>48</v>
      </c>
      <c r="AI359" s="16"/>
      <c r="AJ359" s="16"/>
      <c r="AK359" s="16"/>
      <c r="AL359" s="16"/>
      <c r="AM359" s="16"/>
      <c r="AN359" s="16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</row>
    <row r="360" spans="1:240" s="3" customFormat="1" ht="30" customHeight="1">
      <c r="A360" s="5">
        <v>358</v>
      </c>
      <c r="B360" s="5" t="s">
        <v>68</v>
      </c>
      <c r="C360" s="5"/>
      <c r="D360" s="5"/>
      <c r="E360" s="5">
        <v>820</v>
      </c>
      <c r="F360" s="5">
        <v>2236</v>
      </c>
      <c r="G360" s="5">
        <v>1030</v>
      </c>
      <c r="H360" s="5">
        <v>82</v>
      </c>
      <c r="I360" s="5" t="s">
        <v>52</v>
      </c>
      <c r="J360" s="5">
        <v>2.8</v>
      </c>
      <c r="K360" s="10">
        <v>5</v>
      </c>
      <c r="L360" s="11">
        <v>16.100000000000001</v>
      </c>
      <c r="M360" s="32">
        <v>5</v>
      </c>
      <c r="N360" s="5">
        <v>27</v>
      </c>
      <c r="O360" s="5">
        <v>15000</v>
      </c>
      <c r="P360" s="5" t="s">
        <v>48</v>
      </c>
      <c r="Q360" s="5" t="s">
        <v>48</v>
      </c>
      <c r="R360" s="5">
        <v>2</v>
      </c>
      <c r="S360" s="5" t="s">
        <v>48</v>
      </c>
      <c r="T360" s="5" t="s">
        <v>48</v>
      </c>
      <c r="U360" s="5" t="s">
        <v>48</v>
      </c>
      <c r="V360" s="5">
        <f>0.78*R360</f>
        <v>1.56</v>
      </c>
      <c r="W360" s="5" t="s">
        <v>18</v>
      </c>
      <c r="X360" s="5">
        <v>49</v>
      </c>
      <c r="Y360" s="5" t="s">
        <v>48</v>
      </c>
      <c r="Z360" s="5" t="s">
        <v>48</v>
      </c>
      <c r="AA360" s="5" t="s">
        <v>68</v>
      </c>
      <c r="AB360" s="5"/>
      <c r="AC360" s="5"/>
      <c r="AD360" s="5"/>
      <c r="AE360" s="5"/>
      <c r="AF360" s="5" t="s">
        <v>68</v>
      </c>
      <c r="AG360" s="5"/>
      <c r="AH360" s="16" t="s">
        <v>48</v>
      </c>
      <c r="AI360" s="16"/>
      <c r="AJ360" s="16"/>
      <c r="AK360" s="16"/>
      <c r="AL360" s="16"/>
      <c r="AM360" s="16"/>
      <c r="AN360" s="16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</row>
    <row r="361" spans="1:240" s="3" customFormat="1" ht="30" customHeight="1">
      <c r="A361" s="5">
        <v>359</v>
      </c>
      <c r="B361" s="5" t="s">
        <v>68</v>
      </c>
      <c r="C361" s="5"/>
      <c r="D361" s="5"/>
      <c r="E361" s="5">
        <v>820</v>
      </c>
      <c r="F361" s="5">
        <v>2236</v>
      </c>
      <c r="G361" s="5">
        <v>1030</v>
      </c>
      <c r="H361" s="5">
        <v>94</v>
      </c>
      <c r="I361" s="5" t="s">
        <v>52</v>
      </c>
      <c r="J361" s="5">
        <v>3.8</v>
      </c>
      <c r="K361" s="10">
        <v>5</v>
      </c>
      <c r="L361" s="11">
        <v>22</v>
      </c>
      <c r="M361" s="32">
        <v>5</v>
      </c>
      <c r="N361" s="5">
        <v>52</v>
      </c>
      <c r="O361" s="5">
        <v>14200</v>
      </c>
      <c r="P361" s="5" t="s">
        <v>48</v>
      </c>
      <c r="Q361" s="5" t="s">
        <v>48</v>
      </c>
      <c r="R361" s="5">
        <v>2</v>
      </c>
      <c r="S361" s="5" t="s">
        <v>48</v>
      </c>
      <c r="T361" s="5" t="s">
        <v>48</v>
      </c>
      <c r="U361" s="5" t="s">
        <v>48</v>
      </c>
      <c r="V361" s="5">
        <f>0.78*R361</f>
        <v>1.56</v>
      </c>
      <c r="W361" s="5" t="s">
        <v>18</v>
      </c>
      <c r="X361" s="5">
        <v>49</v>
      </c>
      <c r="Y361" s="5" t="s">
        <v>48</v>
      </c>
      <c r="Z361" s="5" t="s">
        <v>48</v>
      </c>
      <c r="AA361" s="5" t="s">
        <v>68</v>
      </c>
      <c r="AB361" s="5"/>
      <c r="AC361" s="5"/>
      <c r="AD361" s="5"/>
      <c r="AE361" s="5"/>
      <c r="AF361" s="5" t="s">
        <v>68</v>
      </c>
      <c r="AG361" s="5"/>
      <c r="AH361" s="16" t="s">
        <v>48</v>
      </c>
      <c r="AI361" s="16"/>
      <c r="AJ361" s="16"/>
      <c r="AK361" s="16"/>
      <c r="AL361" s="16"/>
      <c r="AM361" s="16"/>
      <c r="AN361" s="16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</row>
    <row r="362" spans="1:240" s="3" customFormat="1" ht="30" customHeight="1">
      <c r="A362" s="5">
        <v>360</v>
      </c>
      <c r="B362" s="5" t="s">
        <v>68</v>
      </c>
      <c r="C362" s="5"/>
      <c r="D362" s="5"/>
      <c r="E362" s="5">
        <v>1250</v>
      </c>
      <c r="F362" s="5">
        <v>2866</v>
      </c>
      <c r="G362" s="5">
        <v>1070</v>
      </c>
      <c r="H362" s="5">
        <v>133</v>
      </c>
      <c r="I362" s="5" t="s">
        <v>52</v>
      </c>
      <c r="J362" s="5">
        <v>4.9000000000000004</v>
      </c>
      <c r="K362" s="10">
        <v>5</v>
      </c>
      <c r="L362" s="11">
        <v>28</v>
      </c>
      <c r="M362" s="32">
        <v>5</v>
      </c>
      <c r="N362" s="5">
        <v>40</v>
      </c>
      <c r="O362" s="5">
        <v>20000</v>
      </c>
      <c r="P362" s="5" t="s">
        <v>48</v>
      </c>
      <c r="Q362" s="5" t="s">
        <v>48</v>
      </c>
      <c r="R362" s="5">
        <v>2</v>
      </c>
      <c r="S362" s="5" t="s">
        <v>48</v>
      </c>
      <c r="T362" s="5" t="s">
        <v>48</v>
      </c>
      <c r="U362" s="5" t="s">
        <v>48</v>
      </c>
      <c r="V362" s="5">
        <f t="shared" ref="V362:V367" si="23">0.69*R362</f>
        <v>1.38</v>
      </c>
      <c r="W362" s="5" t="s">
        <v>10</v>
      </c>
      <c r="X362" s="5">
        <v>49</v>
      </c>
      <c r="Y362" s="5" t="s">
        <v>48</v>
      </c>
      <c r="Z362" s="5" t="s">
        <v>48</v>
      </c>
      <c r="AA362" s="5" t="s">
        <v>68</v>
      </c>
      <c r="AB362" s="5"/>
      <c r="AC362" s="5"/>
      <c r="AD362" s="5"/>
      <c r="AE362" s="5"/>
      <c r="AF362" s="5" t="s">
        <v>68</v>
      </c>
      <c r="AG362" s="5"/>
      <c r="AH362" s="16" t="s">
        <v>48</v>
      </c>
      <c r="AI362" s="16"/>
      <c r="AJ362" s="16"/>
      <c r="AK362" s="16"/>
      <c r="AL362" s="16"/>
      <c r="AM362" s="16"/>
      <c r="AN362" s="16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</row>
    <row r="363" spans="1:240" s="3" customFormat="1" ht="30" customHeight="1">
      <c r="A363" s="5">
        <v>361</v>
      </c>
      <c r="B363" s="5" t="s">
        <v>68</v>
      </c>
      <c r="C363" s="5"/>
      <c r="D363" s="5"/>
      <c r="E363" s="5">
        <v>1250</v>
      </c>
      <c r="F363" s="5">
        <v>2866</v>
      </c>
      <c r="G363" s="5">
        <v>1070</v>
      </c>
      <c r="H363" s="5">
        <v>153</v>
      </c>
      <c r="I363" s="5" t="s">
        <v>52</v>
      </c>
      <c r="J363" s="5">
        <v>6.3</v>
      </c>
      <c r="K363" s="10">
        <v>5</v>
      </c>
      <c r="L363" s="11">
        <v>36.4</v>
      </c>
      <c r="M363" s="32">
        <v>5</v>
      </c>
      <c r="N363" s="5">
        <v>31</v>
      </c>
      <c r="O363" s="5">
        <v>19400</v>
      </c>
      <c r="P363" s="5" t="s">
        <v>48</v>
      </c>
      <c r="Q363" s="5" t="s">
        <v>48</v>
      </c>
      <c r="R363" s="5">
        <v>2</v>
      </c>
      <c r="S363" s="5" t="s">
        <v>48</v>
      </c>
      <c r="T363" s="5" t="s">
        <v>48</v>
      </c>
      <c r="U363" s="5" t="s">
        <v>48</v>
      </c>
      <c r="V363" s="5">
        <f t="shared" si="23"/>
        <v>1.38</v>
      </c>
      <c r="W363" s="5" t="s">
        <v>10</v>
      </c>
      <c r="X363" s="5">
        <v>49</v>
      </c>
      <c r="Y363" s="5" t="s">
        <v>48</v>
      </c>
      <c r="Z363" s="5" t="s">
        <v>48</v>
      </c>
      <c r="AA363" s="5" t="s">
        <v>68</v>
      </c>
      <c r="AB363" s="5"/>
      <c r="AC363" s="5"/>
      <c r="AD363" s="5"/>
      <c r="AE363" s="5"/>
      <c r="AF363" s="5" t="s">
        <v>68</v>
      </c>
      <c r="AG363" s="5"/>
      <c r="AH363" s="16" t="s">
        <v>48</v>
      </c>
      <c r="AI363" s="16"/>
      <c r="AJ363" s="16"/>
      <c r="AK363" s="16"/>
      <c r="AL363" s="16"/>
      <c r="AM363" s="16"/>
      <c r="AN363" s="16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</row>
    <row r="364" spans="1:240" s="3" customFormat="1" ht="30" customHeight="1">
      <c r="A364" s="5">
        <v>362</v>
      </c>
      <c r="B364" s="5" t="s">
        <v>68</v>
      </c>
      <c r="C364" s="5"/>
      <c r="D364" s="5"/>
      <c r="E364" s="5">
        <v>1250</v>
      </c>
      <c r="F364" s="5">
        <v>2866</v>
      </c>
      <c r="G364" s="5">
        <v>1070</v>
      </c>
      <c r="H364" s="5">
        <v>193</v>
      </c>
      <c r="I364" s="5" t="s">
        <v>52</v>
      </c>
      <c r="J364" s="5">
        <v>8</v>
      </c>
      <c r="K364" s="10">
        <v>5</v>
      </c>
      <c r="L364" s="11">
        <v>46.1</v>
      </c>
      <c r="M364" s="32">
        <v>5</v>
      </c>
      <c r="N364" s="5">
        <v>43</v>
      </c>
      <c r="O364" s="5">
        <v>18400</v>
      </c>
      <c r="P364" s="5" t="s">
        <v>48</v>
      </c>
      <c r="Q364" s="5" t="s">
        <v>48</v>
      </c>
      <c r="R364" s="5">
        <v>2</v>
      </c>
      <c r="S364" s="5" t="s">
        <v>48</v>
      </c>
      <c r="T364" s="5" t="s">
        <v>48</v>
      </c>
      <c r="U364" s="5" t="s">
        <v>48</v>
      </c>
      <c r="V364" s="5">
        <f t="shared" si="23"/>
        <v>1.38</v>
      </c>
      <c r="W364" s="5" t="s">
        <v>10</v>
      </c>
      <c r="X364" s="5">
        <v>49</v>
      </c>
      <c r="Y364" s="5" t="s">
        <v>48</v>
      </c>
      <c r="Z364" s="5" t="s">
        <v>48</v>
      </c>
      <c r="AA364" s="5" t="s">
        <v>68</v>
      </c>
      <c r="AB364" s="5"/>
      <c r="AC364" s="5"/>
      <c r="AD364" s="5"/>
      <c r="AE364" s="5"/>
      <c r="AF364" s="5" t="s">
        <v>68</v>
      </c>
      <c r="AG364" s="5"/>
      <c r="AH364" s="16" t="s">
        <v>48</v>
      </c>
      <c r="AI364" s="16"/>
      <c r="AJ364" s="16"/>
      <c r="AK364" s="16"/>
      <c r="AL364" s="16"/>
      <c r="AM364" s="16"/>
      <c r="AN364" s="16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</row>
    <row r="365" spans="1:240" s="3" customFormat="1" ht="30" customHeight="1">
      <c r="A365" s="5">
        <v>363</v>
      </c>
      <c r="B365" s="5" t="s">
        <v>68</v>
      </c>
      <c r="C365" s="5"/>
      <c r="D365" s="5"/>
      <c r="E365" s="5">
        <v>1250</v>
      </c>
      <c r="F365" s="5">
        <v>2866</v>
      </c>
      <c r="G365" s="5">
        <v>1070</v>
      </c>
      <c r="H365" s="5">
        <v>254</v>
      </c>
      <c r="I365" s="5" t="s">
        <v>52</v>
      </c>
      <c r="J365" s="5">
        <v>10.9</v>
      </c>
      <c r="K365" s="10">
        <v>5</v>
      </c>
      <c r="L365" s="11">
        <v>62.8</v>
      </c>
      <c r="M365" s="32">
        <v>5</v>
      </c>
      <c r="N365" s="5">
        <v>22</v>
      </c>
      <c r="O365" s="5">
        <v>28200</v>
      </c>
      <c r="P365" s="5" t="s">
        <v>48</v>
      </c>
      <c r="Q365" s="5" t="s">
        <v>48</v>
      </c>
      <c r="R365" s="5">
        <v>3</v>
      </c>
      <c r="S365" s="5" t="s">
        <v>48</v>
      </c>
      <c r="T365" s="5" t="s">
        <v>48</v>
      </c>
      <c r="U365" s="5" t="s">
        <v>48</v>
      </c>
      <c r="V365" s="5">
        <f t="shared" si="23"/>
        <v>2.0699999999999998</v>
      </c>
      <c r="W365" s="5" t="s">
        <v>10</v>
      </c>
      <c r="X365" s="5">
        <v>51</v>
      </c>
      <c r="Y365" s="5" t="s">
        <v>48</v>
      </c>
      <c r="Z365" s="5" t="s">
        <v>48</v>
      </c>
      <c r="AA365" s="5" t="s">
        <v>68</v>
      </c>
      <c r="AB365" s="5"/>
      <c r="AC365" s="5"/>
      <c r="AD365" s="5"/>
      <c r="AE365" s="5"/>
      <c r="AF365" s="5" t="s">
        <v>68</v>
      </c>
      <c r="AG365" s="5"/>
      <c r="AH365" s="16" t="s">
        <v>48</v>
      </c>
      <c r="AI365" s="16"/>
      <c r="AJ365" s="16"/>
      <c r="AK365" s="16"/>
      <c r="AL365" s="16"/>
      <c r="AM365" s="16"/>
      <c r="AN365" s="16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</row>
    <row r="366" spans="1:240" s="3" customFormat="1" ht="30" customHeight="1">
      <c r="A366" s="5">
        <v>364</v>
      </c>
      <c r="B366" s="5" t="s">
        <v>68</v>
      </c>
      <c r="C366" s="5"/>
      <c r="D366" s="5"/>
      <c r="E366" s="5">
        <v>1250</v>
      </c>
      <c r="F366" s="5">
        <v>2866</v>
      </c>
      <c r="G366" s="5">
        <v>1070</v>
      </c>
      <c r="H366" s="5">
        <v>283</v>
      </c>
      <c r="I366" s="5" t="s">
        <v>52</v>
      </c>
      <c r="J366" s="5">
        <v>12.1</v>
      </c>
      <c r="K366" s="10">
        <v>5</v>
      </c>
      <c r="L366" s="11">
        <v>69.5</v>
      </c>
      <c r="M366" s="32">
        <v>5</v>
      </c>
      <c r="N366" s="5">
        <v>55</v>
      </c>
      <c r="O366" s="5">
        <v>27600</v>
      </c>
      <c r="P366" s="5" t="s">
        <v>48</v>
      </c>
      <c r="Q366" s="5" t="s">
        <v>48</v>
      </c>
      <c r="R366" s="5">
        <v>3</v>
      </c>
      <c r="S366" s="5" t="s">
        <v>48</v>
      </c>
      <c r="T366" s="5" t="s">
        <v>48</v>
      </c>
      <c r="U366" s="5" t="s">
        <v>48</v>
      </c>
      <c r="V366" s="5">
        <f t="shared" si="23"/>
        <v>2.0699999999999998</v>
      </c>
      <c r="W366" s="5" t="s">
        <v>10</v>
      </c>
      <c r="X366" s="5">
        <v>51</v>
      </c>
      <c r="Y366" s="5" t="s">
        <v>48</v>
      </c>
      <c r="Z366" s="5" t="s">
        <v>48</v>
      </c>
      <c r="AA366" s="5" t="s">
        <v>68</v>
      </c>
      <c r="AB366" s="5"/>
      <c r="AC366" s="5"/>
      <c r="AD366" s="5"/>
      <c r="AE366" s="5"/>
      <c r="AF366" s="5" t="s">
        <v>68</v>
      </c>
      <c r="AG366" s="5"/>
      <c r="AH366" s="16" t="s">
        <v>48</v>
      </c>
      <c r="AI366" s="16"/>
      <c r="AJ366" s="16"/>
      <c r="AK366" s="16"/>
      <c r="AL366" s="16"/>
      <c r="AM366" s="16"/>
      <c r="AN366" s="16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</row>
    <row r="367" spans="1:240" s="3" customFormat="1" ht="30" customHeight="1">
      <c r="A367" s="5">
        <v>365</v>
      </c>
      <c r="B367" s="5" t="s">
        <v>68</v>
      </c>
      <c r="C367" s="5"/>
      <c r="D367" s="5"/>
      <c r="E367" s="5">
        <v>1250</v>
      </c>
      <c r="F367" s="5">
        <v>2866</v>
      </c>
      <c r="G367" s="5">
        <v>1070</v>
      </c>
      <c r="H367" s="5">
        <v>340</v>
      </c>
      <c r="I367" s="5" t="s">
        <v>52</v>
      </c>
      <c r="J367" s="5">
        <v>14.7</v>
      </c>
      <c r="K367" s="10">
        <v>5</v>
      </c>
      <c r="L367" s="11">
        <v>84.8</v>
      </c>
      <c r="M367" s="32">
        <v>5</v>
      </c>
      <c r="N367" s="5">
        <v>48</v>
      </c>
      <c r="O367" s="5">
        <v>37600</v>
      </c>
      <c r="P367" s="5" t="s">
        <v>48</v>
      </c>
      <c r="Q367" s="5" t="s">
        <v>48</v>
      </c>
      <c r="R367" s="5">
        <v>4</v>
      </c>
      <c r="S367" s="5" t="s">
        <v>48</v>
      </c>
      <c r="T367" s="5" t="s">
        <v>48</v>
      </c>
      <c r="U367" s="5" t="s">
        <v>48</v>
      </c>
      <c r="V367" s="5">
        <f t="shared" si="23"/>
        <v>2.76</v>
      </c>
      <c r="W367" s="5" t="s">
        <v>10</v>
      </c>
      <c r="X367" s="5">
        <v>52</v>
      </c>
      <c r="Y367" s="5" t="s">
        <v>48</v>
      </c>
      <c r="Z367" s="5" t="s">
        <v>48</v>
      </c>
      <c r="AA367" s="5" t="s">
        <v>68</v>
      </c>
      <c r="AB367" s="5"/>
      <c r="AC367" s="5"/>
      <c r="AD367" s="5"/>
      <c r="AE367" s="5"/>
      <c r="AF367" s="5" t="s">
        <v>68</v>
      </c>
      <c r="AG367" s="5"/>
      <c r="AH367" s="16" t="s">
        <v>48</v>
      </c>
      <c r="AI367" s="16"/>
      <c r="AJ367" s="16"/>
      <c r="AK367" s="16"/>
      <c r="AL367" s="16"/>
      <c r="AM367" s="16"/>
      <c r="AN367" s="16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</row>
    <row r="368" spans="1:240" s="3" customFormat="1" ht="30" customHeight="1">
      <c r="A368" s="5">
        <v>366</v>
      </c>
      <c r="B368" s="5" t="s">
        <v>68</v>
      </c>
      <c r="C368" s="5"/>
      <c r="D368" s="5"/>
      <c r="E368" s="5">
        <v>1620</v>
      </c>
      <c r="F368" s="5">
        <v>5276</v>
      </c>
      <c r="G368" s="5">
        <v>1650</v>
      </c>
      <c r="H368" s="5">
        <v>763</v>
      </c>
      <c r="I368" s="5" t="s">
        <v>52</v>
      </c>
      <c r="J368" s="5">
        <v>22.4</v>
      </c>
      <c r="K368" s="10">
        <v>5</v>
      </c>
      <c r="L368" s="11">
        <v>128.9</v>
      </c>
      <c r="M368" s="32">
        <v>5</v>
      </c>
      <c r="N368" s="5">
        <v>58</v>
      </c>
      <c r="O368" s="5">
        <v>63000</v>
      </c>
      <c r="P368" s="5" t="s">
        <v>48</v>
      </c>
      <c r="Q368" s="5" t="s">
        <v>48</v>
      </c>
      <c r="R368" s="5">
        <v>3</v>
      </c>
      <c r="S368" s="5" t="s">
        <v>48</v>
      </c>
      <c r="T368" s="5" t="s">
        <v>48</v>
      </c>
      <c r="U368" s="5" t="s">
        <v>48</v>
      </c>
      <c r="V368" s="5">
        <f t="shared" ref="V368:V373" si="24">2*R368</f>
        <v>6</v>
      </c>
      <c r="W368" s="5" t="s">
        <v>10</v>
      </c>
      <c r="X368" s="5">
        <v>50</v>
      </c>
      <c r="Y368" s="5" t="s">
        <v>48</v>
      </c>
      <c r="Z368" s="5" t="s">
        <v>48</v>
      </c>
      <c r="AA368" s="5" t="s">
        <v>68</v>
      </c>
      <c r="AB368" s="5"/>
      <c r="AC368" s="5"/>
      <c r="AD368" s="5"/>
      <c r="AE368" s="5"/>
      <c r="AF368" s="5" t="s">
        <v>68</v>
      </c>
      <c r="AG368" s="5"/>
      <c r="AH368" s="16" t="s">
        <v>48</v>
      </c>
      <c r="AI368" s="16"/>
      <c r="AJ368" s="16"/>
      <c r="AK368" s="16"/>
      <c r="AL368" s="16"/>
      <c r="AM368" s="16"/>
      <c r="AN368" s="16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</row>
    <row r="369" spans="1:240" s="3" customFormat="1" ht="30" customHeight="1">
      <c r="A369" s="5">
        <v>367</v>
      </c>
      <c r="B369" s="5" t="s">
        <v>68</v>
      </c>
      <c r="C369" s="5"/>
      <c r="D369" s="5"/>
      <c r="E369" s="5">
        <v>1620</v>
      </c>
      <c r="F369" s="5">
        <v>6826</v>
      </c>
      <c r="G369" s="5">
        <v>1650</v>
      </c>
      <c r="H369" s="5">
        <v>990</v>
      </c>
      <c r="I369" s="5" t="s">
        <v>52</v>
      </c>
      <c r="J369" s="5">
        <v>29.2</v>
      </c>
      <c r="K369" s="10">
        <v>5</v>
      </c>
      <c r="L369" s="11">
        <v>168.1</v>
      </c>
      <c r="M369" s="32">
        <v>5</v>
      </c>
      <c r="N369" s="5">
        <v>17</v>
      </c>
      <c r="O369" s="5">
        <v>84000</v>
      </c>
      <c r="P369" s="5" t="s">
        <v>48</v>
      </c>
      <c r="Q369" s="5" t="s">
        <v>48</v>
      </c>
      <c r="R369" s="5">
        <v>4</v>
      </c>
      <c r="S369" s="5" t="s">
        <v>48</v>
      </c>
      <c r="T369" s="5" t="s">
        <v>48</v>
      </c>
      <c r="U369" s="5" t="s">
        <v>48</v>
      </c>
      <c r="V369" s="5">
        <f t="shared" si="24"/>
        <v>8</v>
      </c>
      <c r="W369" s="5" t="s">
        <v>10</v>
      </c>
      <c r="X369" s="5">
        <v>51</v>
      </c>
      <c r="Y369" s="5" t="s">
        <v>48</v>
      </c>
      <c r="Z369" s="5" t="s">
        <v>48</v>
      </c>
      <c r="AA369" s="5" t="s">
        <v>68</v>
      </c>
      <c r="AB369" s="5"/>
      <c r="AC369" s="5"/>
      <c r="AD369" s="5"/>
      <c r="AE369" s="5"/>
      <c r="AF369" s="5" t="s">
        <v>68</v>
      </c>
      <c r="AG369" s="5"/>
      <c r="AH369" s="16" t="s">
        <v>48</v>
      </c>
      <c r="AI369" s="16"/>
      <c r="AJ369" s="16"/>
      <c r="AK369" s="16"/>
      <c r="AL369" s="16"/>
      <c r="AM369" s="16"/>
      <c r="AN369" s="16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</row>
    <row r="370" spans="1:240" s="3" customFormat="1" ht="30" customHeight="1">
      <c r="A370" s="5">
        <v>368</v>
      </c>
      <c r="B370" s="5" t="s">
        <v>68</v>
      </c>
      <c r="C370" s="5"/>
      <c r="D370" s="5"/>
      <c r="E370" s="5">
        <v>2340</v>
      </c>
      <c r="F370" s="5">
        <v>5576</v>
      </c>
      <c r="G370" s="5">
        <v>1650</v>
      </c>
      <c r="H370" s="5">
        <v>1115</v>
      </c>
      <c r="I370" s="5" t="s">
        <v>52</v>
      </c>
      <c r="J370" s="5">
        <v>37.799999999999997</v>
      </c>
      <c r="K370" s="10">
        <v>5</v>
      </c>
      <c r="L370" s="11">
        <v>217.6</v>
      </c>
      <c r="M370" s="32">
        <v>5</v>
      </c>
      <c r="N370" s="5">
        <v>11</v>
      </c>
      <c r="O370" s="5">
        <v>118800</v>
      </c>
      <c r="P370" s="5" t="s">
        <v>48</v>
      </c>
      <c r="Q370" s="5" t="s">
        <v>48</v>
      </c>
      <c r="R370" s="5">
        <v>6</v>
      </c>
      <c r="S370" s="5" t="s">
        <v>48</v>
      </c>
      <c r="T370" s="5" t="s">
        <v>48</v>
      </c>
      <c r="U370" s="5" t="s">
        <v>48</v>
      </c>
      <c r="V370" s="5">
        <f t="shared" si="24"/>
        <v>12</v>
      </c>
      <c r="W370" s="5" t="s">
        <v>10</v>
      </c>
      <c r="X370" s="5">
        <v>53</v>
      </c>
      <c r="Y370" s="5" t="s">
        <v>48</v>
      </c>
      <c r="Z370" s="5" t="s">
        <v>48</v>
      </c>
      <c r="AA370" s="5" t="s">
        <v>68</v>
      </c>
      <c r="AB370" s="5"/>
      <c r="AC370" s="5"/>
      <c r="AD370" s="5"/>
      <c r="AE370" s="5"/>
      <c r="AF370" s="5" t="s">
        <v>68</v>
      </c>
      <c r="AG370" s="5"/>
      <c r="AH370" s="16" t="s">
        <v>48</v>
      </c>
      <c r="AI370" s="16"/>
      <c r="AJ370" s="16"/>
      <c r="AK370" s="16"/>
      <c r="AL370" s="16"/>
      <c r="AM370" s="16"/>
      <c r="AN370" s="16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</row>
    <row r="371" spans="1:240" s="3" customFormat="1" ht="30" customHeight="1">
      <c r="A371" s="5">
        <v>369</v>
      </c>
      <c r="B371" s="5" t="s">
        <v>68</v>
      </c>
      <c r="C371" s="5"/>
      <c r="D371" s="5"/>
      <c r="E371" s="5">
        <v>2340</v>
      </c>
      <c r="F371" s="5">
        <v>5576</v>
      </c>
      <c r="G371" s="5">
        <v>1650</v>
      </c>
      <c r="H371" s="5">
        <v>1253</v>
      </c>
      <c r="I371" s="5" t="s">
        <v>52</v>
      </c>
      <c r="J371" s="5">
        <v>46.1</v>
      </c>
      <c r="K371" s="10">
        <v>5</v>
      </c>
      <c r="L371" s="11">
        <v>265.39999999999998</v>
      </c>
      <c r="M371" s="32">
        <v>5</v>
      </c>
      <c r="N371" s="5">
        <v>54</v>
      </c>
      <c r="O371" s="5">
        <v>109200</v>
      </c>
      <c r="P371" s="5" t="s">
        <v>48</v>
      </c>
      <c r="Q371" s="5" t="s">
        <v>48</v>
      </c>
      <c r="R371" s="5">
        <v>6</v>
      </c>
      <c r="S371" s="5" t="s">
        <v>48</v>
      </c>
      <c r="T371" s="5" t="s">
        <v>48</v>
      </c>
      <c r="U371" s="5" t="s">
        <v>48</v>
      </c>
      <c r="V371" s="5">
        <f t="shared" si="24"/>
        <v>12</v>
      </c>
      <c r="W371" s="5" t="s">
        <v>10</v>
      </c>
      <c r="X371" s="5">
        <v>53</v>
      </c>
      <c r="Y371" s="5" t="s">
        <v>48</v>
      </c>
      <c r="Z371" s="5" t="s">
        <v>48</v>
      </c>
      <c r="AA371" s="5" t="s">
        <v>68</v>
      </c>
      <c r="AB371" s="5"/>
      <c r="AC371" s="5"/>
      <c r="AD371" s="5"/>
      <c r="AE371" s="5"/>
      <c r="AF371" s="5" t="s">
        <v>68</v>
      </c>
      <c r="AG371" s="5"/>
      <c r="AH371" s="16" t="s">
        <v>48</v>
      </c>
      <c r="AI371" s="16"/>
      <c r="AJ371" s="16"/>
      <c r="AK371" s="16"/>
      <c r="AL371" s="16"/>
      <c r="AM371" s="16"/>
      <c r="AN371" s="16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</row>
    <row r="372" spans="1:240" s="3" customFormat="1" ht="30" customHeight="1">
      <c r="A372" s="5">
        <v>370</v>
      </c>
      <c r="B372" s="5" t="s">
        <v>68</v>
      </c>
      <c r="C372" s="5"/>
      <c r="D372" s="5"/>
      <c r="E372" s="5">
        <v>2340</v>
      </c>
      <c r="F372" s="5">
        <v>7266</v>
      </c>
      <c r="G372" s="5">
        <v>1650</v>
      </c>
      <c r="H372" s="5">
        <v>1585</v>
      </c>
      <c r="I372" s="5" t="s">
        <v>52</v>
      </c>
      <c r="J372" s="5">
        <v>56.9</v>
      </c>
      <c r="K372" s="10">
        <v>5</v>
      </c>
      <c r="L372" s="11">
        <v>327.2</v>
      </c>
      <c r="M372" s="32">
        <v>5</v>
      </c>
      <c r="N372" s="5">
        <v>20</v>
      </c>
      <c r="O372" s="5">
        <v>151600</v>
      </c>
      <c r="P372" s="5" t="s">
        <v>48</v>
      </c>
      <c r="Q372" s="5" t="s">
        <v>48</v>
      </c>
      <c r="R372" s="5">
        <v>8</v>
      </c>
      <c r="S372" s="5" t="s">
        <v>48</v>
      </c>
      <c r="T372" s="5" t="s">
        <v>48</v>
      </c>
      <c r="U372" s="5" t="s">
        <v>48</v>
      </c>
      <c r="V372" s="5">
        <f t="shared" si="24"/>
        <v>16</v>
      </c>
      <c r="W372" s="5" t="s">
        <v>10</v>
      </c>
      <c r="X372" s="5">
        <v>54</v>
      </c>
      <c r="Y372" s="5" t="s">
        <v>48</v>
      </c>
      <c r="Z372" s="5" t="s">
        <v>48</v>
      </c>
      <c r="AA372" s="5" t="s">
        <v>68</v>
      </c>
      <c r="AB372" s="5"/>
      <c r="AC372" s="5"/>
      <c r="AD372" s="5"/>
      <c r="AE372" s="5"/>
      <c r="AF372" s="5" t="s">
        <v>68</v>
      </c>
      <c r="AG372" s="5"/>
      <c r="AH372" s="16" t="s">
        <v>48</v>
      </c>
      <c r="AI372" s="16"/>
      <c r="AJ372" s="16"/>
      <c r="AK372" s="16"/>
      <c r="AL372" s="16"/>
      <c r="AM372" s="16"/>
      <c r="AN372" s="16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</row>
    <row r="373" spans="1:240" s="3" customFormat="1" ht="30" customHeight="1">
      <c r="A373" s="5">
        <v>371</v>
      </c>
      <c r="B373" s="5" t="s">
        <v>68</v>
      </c>
      <c r="C373" s="5"/>
      <c r="D373" s="5"/>
      <c r="E373" s="5">
        <v>2340</v>
      </c>
      <c r="F373" s="5">
        <v>8876</v>
      </c>
      <c r="G373" s="5">
        <v>1650</v>
      </c>
      <c r="H373" s="5">
        <v>1940</v>
      </c>
      <c r="I373" s="5" t="s">
        <v>52</v>
      </c>
      <c r="J373" s="5">
        <v>72</v>
      </c>
      <c r="K373" s="10">
        <v>5</v>
      </c>
      <c r="L373" s="11">
        <v>414.1</v>
      </c>
      <c r="M373" s="32">
        <v>5</v>
      </c>
      <c r="N373" s="5">
        <v>38</v>
      </c>
      <c r="O373" s="5">
        <v>189500</v>
      </c>
      <c r="P373" s="5" t="s">
        <v>48</v>
      </c>
      <c r="Q373" s="5" t="s">
        <v>48</v>
      </c>
      <c r="R373" s="5">
        <v>10</v>
      </c>
      <c r="S373" s="5" t="s">
        <v>48</v>
      </c>
      <c r="T373" s="5" t="s">
        <v>48</v>
      </c>
      <c r="U373" s="5" t="s">
        <v>48</v>
      </c>
      <c r="V373" s="5">
        <f t="shared" si="24"/>
        <v>20</v>
      </c>
      <c r="W373" s="5" t="s">
        <v>10</v>
      </c>
      <c r="X373" s="5">
        <v>54</v>
      </c>
      <c r="Y373" s="5" t="s">
        <v>48</v>
      </c>
      <c r="Z373" s="5" t="s">
        <v>48</v>
      </c>
      <c r="AA373" s="5" t="s">
        <v>68</v>
      </c>
      <c r="AB373" s="5"/>
      <c r="AC373" s="5"/>
      <c r="AD373" s="5"/>
      <c r="AE373" s="5"/>
      <c r="AF373" s="5" t="s">
        <v>68</v>
      </c>
      <c r="AG373" s="5"/>
      <c r="AH373" s="16" t="s">
        <v>48</v>
      </c>
      <c r="AI373" s="16"/>
      <c r="AJ373" s="16"/>
      <c r="AK373" s="16"/>
      <c r="AL373" s="16"/>
      <c r="AM373" s="16"/>
      <c r="AN373" s="16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</row>
    <row r="374" spans="1:240" s="3" customFormat="1" ht="30" customHeight="1">
      <c r="A374" s="5">
        <v>372</v>
      </c>
      <c r="B374" s="5" t="s">
        <v>68</v>
      </c>
      <c r="C374" s="5"/>
      <c r="D374" s="5"/>
      <c r="E374" s="5">
        <v>2550</v>
      </c>
      <c r="F374" s="5">
        <v>1260</v>
      </c>
      <c r="G374" s="5">
        <v>990</v>
      </c>
      <c r="H374" s="5">
        <v>200</v>
      </c>
      <c r="I374" s="5" t="s">
        <v>53</v>
      </c>
      <c r="J374" s="5">
        <v>7.2359999999999998</v>
      </c>
      <c r="K374" s="10">
        <v>5</v>
      </c>
      <c r="L374" s="11">
        <v>39</v>
      </c>
      <c r="M374" s="32">
        <v>8</v>
      </c>
      <c r="N374" s="5">
        <v>38</v>
      </c>
      <c r="O374" s="5">
        <v>21600</v>
      </c>
      <c r="P374" s="5" t="s">
        <v>48</v>
      </c>
      <c r="Q374" s="5" t="s">
        <v>48</v>
      </c>
      <c r="R374" s="5">
        <v>2</v>
      </c>
      <c r="S374" s="5">
        <v>630</v>
      </c>
      <c r="T374" s="5" t="s">
        <v>48</v>
      </c>
      <c r="U374" s="5">
        <v>870</v>
      </c>
      <c r="V374" s="5">
        <v>1.4</v>
      </c>
      <c r="W374" s="5" t="s">
        <v>10</v>
      </c>
      <c r="X374" s="5">
        <v>55</v>
      </c>
      <c r="Y374" s="5" t="s">
        <v>48</v>
      </c>
      <c r="Z374" s="5">
        <v>14</v>
      </c>
      <c r="AA374" s="5" t="s">
        <v>68</v>
      </c>
      <c r="AB374" s="5"/>
      <c r="AC374" s="5"/>
      <c r="AD374" s="5"/>
      <c r="AE374" s="5"/>
      <c r="AF374" s="5" t="s">
        <v>68</v>
      </c>
      <c r="AG374" s="5"/>
      <c r="AH374" s="16" t="s">
        <v>48</v>
      </c>
      <c r="AI374" s="16"/>
      <c r="AJ374" s="16"/>
      <c r="AK374" s="16"/>
      <c r="AL374" s="16"/>
      <c r="AM374" s="16"/>
      <c r="AN374" s="16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</row>
    <row r="375" spans="1:240" s="3" customFormat="1" ht="30" customHeight="1">
      <c r="A375" s="5">
        <v>373</v>
      </c>
      <c r="B375" s="5" t="s">
        <v>68</v>
      </c>
      <c r="C375" s="5"/>
      <c r="D375" s="5"/>
      <c r="E375" s="5">
        <v>2550</v>
      </c>
      <c r="F375" s="5">
        <v>1260</v>
      </c>
      <c r="G375" s="5">
        <v>990</v>
      </c>
      <c r="H375" s="5">
        <v>210</v>
      </c>
      <c r="I375" s="5" t="s">
        <v>53</v>
      </c>
      <c r="J375" s="5">
        <v>9.1080000000000005</v>
      </c>
      <c r="K375" s="10">
        <v>5</v>
      </c>
      <c r="L375" s="11">
        <v>49</v>
      </c>
      <c r="M375" s="32">
        <v>8</v>
      </c>
      <c r="N375" s="5">
        <v>26</v>
      </c>
      <c r="O375" s="5">
        <v>20199.599999999999</v>
      </c>
      <c r="P375" s="5" t="s">
        <v>48</v>
      </c>
      <c r="Q375" s="5" t="s">
        <v>48</v>
      </c>
      <c r="R375" s="5">
        <v>2</v>
      </c>
      <c r="S375" s="5">
        <v>630</v>
      </c>
      <c r="T375" s="5" t="s">
        <v>48</v>
      </c>
      <c r="U375" s="5">
        <v>870</v>
      </c>
      <c r="V375" s="5">
        <v>1.4</v>
      </c>
      <c r="W375" s="5" t="s">
        <v>10</v>
      </c>
      <c r="X375" s="5">
        <v>55</v>
      </c>
      <c r="Y375" s="5" t="s">
        <v>48</v>
      </c>
      <c r="Z375" s="5">
        <v>21</v>
      </c>
      <c r="AA375" s="5" t="s">
        <v>68</v>
      </c>
      <c r="AB375" s="5"/>
      <c r="AC375" s="5"/>
      <c r="AD375" s="5"/>
      <c r="AE375" s="5"/>
      <c r="AF375" s="5" t="s">
        <v>68</v>
      </c>
      <c r="AG375" s="5"/>
      <c r="AH375" s="16" t="s">
        <v>48</v>
      </c>
      <c r="AI375" s="16"/>
      <c r="AJ375" s="16"/>
      <c r="AK375" s="16"/>
      <c r="AL375" s="16"/>
      <c r="AM375" s="16"/>
      <c r="AN375" s="16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</row>
    <row r="376" spans="1:240" s="3" customFormat="1" ht="30" customHeight="1">
      <c r="A376" s="5">
        <v>374</v>
      </c>
      <c r="B376" s="5" t="s">
        <v>68</v>
      </c>
      <c r="C376" s="5"/>
      <c r="D376" s="5"/>
      <c r="E376" s="5">
        <v>3700</v>
      </c>
      <c r="F376" s="5">
        <v>1260</v>
      </c>
      <c r="G376" s="5">
        <v>990</v>
      </c>
      <c r="H376" s="5">
        <v>275</v>
      </c>
      <c r="I376" s="5" t="s">
        <v>53</v>
      </c>
      <c r="J376" s="5">
        <v>10.584</v>
      </c>
      <c r="K376" s="10">
        <v>5</v>
      </c>
      <c r="L376" s="11">
        <v>57</v>
      </c>
      <c r="M376" s="32">
        <v>8</v>
      </c>
      <c r="N376" s="5">
        <v>14</v>
      </c>
      <c r="O376" s="5">
        <v>32400</v>
      </c>
      <c r="P376" s="5" t="s">
        <v>48</v>
      </c>
      <c r="Q376" s="5" t="s">
        <v>48</v>
      </c>
      <c r="R376" s="5">
        <v>3</v>
      </c>
      <c r="S376" s="5">
        <v>630</v>
      </c>
      <c r="T376" s="5" t="s">
        <v>48</v>
      </c>
      <c r="U376" s="5">
        <v>870</v>
      </c>
      <c r="V376" s="5">
        <v>2.2000000000000002</v>
      </c>
      <c r="W376" s="5" t="s">
        <v>10</v>
      </c>
      <c r="X376" s="5">
        <v>57</v>
      </c>
      <c r="Y376" s="5" t="s">
        <v>48</v>
      </c>
      <c r="Z376" s="5">
        <v>21</v>
      </c>
      <c r="AA376" s="5" t="s">
        <v>68</v>
      </c>
      <c r="AB376" s="5"/>
      <c r="AC376" s="5"/>
      <c r="AD376" s="5"/>
      <c r="AE376" s="5"/>
      <c r="AF376" s="5" t="s">
        <v>68</v>
      </c>
      <c r="AG376" s="5"/>
      <c r="AH376" s="16" t="s">
        <v>48</v>
      </c>
      <c r="AI376" s="16"/>
      <c r="AJ376" s="16"/>
      <c r="AK376" s="16"/>
      <c r="AL376" s="16"/>
      <c r="AM376" s="16"/>
      <c r="AN376" s="16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</row>
    <row r="377" spans="1:240" s="3" customFormat="1" ht="30" customHeight="1">
      <c r="A377" s="5">
        <v>375</v>
      </c>
      <c r="B377" s="5" t="s">
        <v>68</v>
      </c>
      <c r="C377" s="5"/>
      <c r="D377" s="5"/>
      <c r="E377" s="5">
        <v>3700</v>
      </c>
      <c r="F377" s="5">
        <v>1260</v>
      </c>
      <c r="G377" s="5">
        <v>990</v>
      </c>
      <c r="H377" s="5">
        <v>300</v>
      </c>
      <c r="I377" s="5" t="s">
        <v>53</v>
      </c>
      <c r="J377" s="5">
        <v>13.391999999999999</v>
      </c>
      <c r="K377" s="10">
        <v>5</v>
      </c>
      <c r="L377" s="11">
        <v>72</v>
      </c>
      <c r="M377" s="32">
        <v>8</v>
      </c>
      <c r="N377" s="5">
        <v>12</v>
      </c>
      <c r="O377" s="5">
        <v>30301.200000000001</v>
      </c>
      <c r="P377" s="5" t="s">
        <v>48</v>
      </c>
      <c r="Q377" s="5" t="s">
        <v>48</v>
      </c>
      <c r="R377" s="5">
        <v>3</v>
      </c>
      <c r="S377" s="5">
        <v>630</v>
      </c>
      <c r="T377" s="5" t="s">
        <v>48</v>
      </c>
      <c r="U377" s="5">
        <v>870</v>
      </c>
      <c r="V377" s="5">
        <v>2.2000000000000002</v>
      </c>
      <c r="W377" s="5" t="s">
        <v>10</v>
      </c>
      <c r="X377" s="5">
        <v>57</v>
      </c>
      <c r="Y377" s="5" t="s">
        <v>48</v>
      </c>
      <c r="Z377" s="5">
        <v>31</v>
      </c>
      <c r="AA377" s="5" t="s">
        <v>68</v>
      </c>
      <c r="AB377" s="5"/>
      <c r="AC377" s="5"/>
      <c r="AD377" s="5"/>
      <c r="AE377" s="5"/>
      <c r="AF377" s="5" t="s">
        <v>68</v>
      </c>
      <c r="AG377" s="5"/>
      <c r="AH377" s="16" t="s">
        <v>48</v>
      </c>
      <c r="AI377" s="16"/>
      <c r="AJ377" s="16"/>
      <c r="AK377" s="16"/>
      <c r="AL377" s="16"/>
      <c r="AM377" s="16"/>
      <c r="AN377" s="16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</row>
    <row r="378" spans="1:240" s="3" customFormat="1" ht="30" customHeight="1">
      <c r="A378" s="5">
        <v>376</v>
      </c>
      <c r="B378" s="5" t="s">
        <v>68</v>
      </c>
      <c r="C378" s="5"/>
      <c r="D378" s="5"/>
      <c r="E378" s="5">
        <v>3700</v>
      </c>
      <c r="F378" s="5">
        <v>1260</v>
      </c>
      <c r="G378" s="5">
        <v>990</v>
      </c>
      <c r="H378" s="5">
        <v>340</v>
      </c>
      <c r="I378" s="5" t="s">
        <v>53</v>
      </c>
      <c r="J378" s="5">
        <v>16.524000000000001</v>
      </c>
      <c r="K378" s="10">
        <v>5</v>
      </c>
      <c r="L378" s="11">
        <v>89</v>
      </c>
      <c r="M378" s="32">
        <v>8</v>
      </c>
      <c r="N378" s="5">
        <v>12</v>
      </c>
      <c r="O378" s="5">
        <v>30301.200000000001</v>
      </c>
      <c r="P378" s="5" t="s">
        <v>48</v>
      </c>
      <c r="Q378" s="5" t="s">
        <v>48</v>
      </c>
      <c r="R378" s="5">
        <v>3</v>
      </c>
      <c r="S378" s="5">
        <v>630</v>
      </c>
      <c r="T378" s="5" t="s">
        <v>48</v>
      </c>
      <c r="U378" s="5">
        <v>870</v>
      </c>
      <c r="V378" s="5">
        <v>2.2000000000000002</v>
      </c>
      <c r="W378" s="5" t="s">
        <v>10</v>
      </c>
      <c r="X378" s="5">
        <v>57</v>
      </c>
      <c r="Y378" s="5" t="s">
        <v>48</v>
      </c>
      <c r="Z378" s="5">
        <v>41</v>
      </c>
      <c r="AA378" s="5" t="s">
        <v>68</v>
      </c>
      <c r="AB378" s="5"/>
      <c r="AC378" s="5"/>
      <c r="AD378" s="5"/>
      <c r="AE378" s="5"/>
      <c r="AF378" s="5" t="s">
        <v>68</v>
      </c>
      <c r="AG378" s="5"/>
      <c r="AH378" s="16" t="s">
        <v>48</v>
      </c>
      <c r="AI378" s="16"/>
      <c r="AJ378" s="16"/>
      <c r="AK378" s="16"/>
      <c r="AL378" s="16"/>
      <c r="AM378" s="16"/>
      <c r="AN378" s="16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</row>
    <row r="379" spans="1:240" s="3" customFormat="1" ht="30" customHeight="1">
      <c r="A379" s="5">
        <v>377</v>
      </c>
      <c r="B379" s="5" t="s">
        <v>68</v>
      </c>
      <c r="C379" s="5"/>
      <c r="D379" s="5"/>
      <c r="E379" s="5">
        <v>3310</v>
      </c>
      <c r="F379" s="5">
        <v>1640</v>
      </c>
      <c r="G379" s="5">
        <v>1200</v>
      </c>
      <c r="H379" s="5">
        <v>310</v>
      </c>
      <c r="I379" s="5" t="s">
        <v>53</v>
      </c>
      <c r="J379" s="5">
        <v>16.920000000000002</v>
      </c>
      <c r="K379" s="10">
        <v>5</v>
      </c>
      <c r="L379" s="11">
        <v>91</v>
      </c>
      <c r="M379" s="32">
        <v>8</v>
      </c>
      <c r="N379" s="5">
        <v>50</v>
      </c>
      <c r="O379" s="5">
        <v>37501.199999999997</v>
      </c>
      <c r="P379" s="5" t="s">
        <v>48</v>
      </c>
      <c r="Q379" s="5" t="s">
        <v>48</v>
      </c>
      <c r="R379" s="5">
        <v>2</v>
      </c>
      <c r="S379" s="5">
        <v>800</v>
      </c>
      <c r="T379" s="5" t="s">
        <v>48</v>
      </c>
      <c r="U379" s="5">
        <v>900</v>
      </c>
      <c r="V379" s="5">
        <v>2.9</v>
      </c>
      <c r="W379" s="5" t="s">
        <v>10</v>
      </c>
      <c r="X379" s="5">
        <v>57</v>
      </c>
      <c r="Y379" s="5" t="s">
        <v>48</v>
      </c>
      <c r="Z379" s="5">
        <v>36</v>
      </c>
      <c r="AA379" s="5" t="s">
        <v>68</v>
      </c>
      <c r="AB379" s="5"/>
      <c r="AC379" s="5"/>
      <c r="AD379" s="5"/>
      <c r="AE379" s="5"/>
      <c r="AF379" s="5" t="s">
        <v>68</v>
      </c>
      <c r="AG379" s="5"/>
      <c r="AH379" s="16" t="s">
        <v>48</v>
      </c>
      <c r="AI379" s="16"/>
      <c r="AJ379" s="16"/>
      <c r="AK379" s="16"/>
      <c r="AL379" s="16"/>
      <c r="AM379" s="16"/>
      <c r="AN379" s="16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</row>
    <row r="380" spans="1:240" s="3" customFormat="1" ht="30" customHeight="1">
      <c r="A380" s="5">
        <v>378</v>
      </c>
      <c r="B380" s="5" t="s">
        <v>68</v>
      </c>
      <c r="C380" s="5"/>
      <c r="D380" s="5"/>
      <c r="E380" s="5">
        <v>4880</v>
      </c>
      <c r="F380" s="5">
        <v>1260</v>
      </c>
      <c r="G380" s="5">
        <v>990</v>
      </c>
      <c r="H380" s="5">
        <v>380</v>
      </c>
      <c r="I380" s="5" t="s">
        <v>53</v>
      </c>
      <c r="J380" s="5">
        <v>18.396000000000001</v>
      </c>
      <c r="K380" s="10">
        <v>5</v>
      </c>
      <c r="L380" s="11">
        <v>99</v>
      </c>
      <c r="M380" s="32">
        <v>8</v>
      </c>
      <c r="N380" s="5">
        <v>25</v>
      </c>
      <c r="O380" s="5">
        <v>40399.199999999997</v>
      </c>
      <c r="P380" s="5" t="s">
        <v>48</v>
      </c>
      <c r="Q380" s="5" t="s">
        <v>48</v>
      </c>
      <c r="R380" s="5">
        <v>4</v>
      </c>
      <c r="S380" s="5">
        <v>630</v>
      </c>
      <c r="T380" s="5" t="s">
        <v>48</v>
      </c>
      <c r="U380" s="5">
        <v>870</v>
      </c>
      <c r="V380" s="5">
        <v>2.9</v>
      </c>
      <c r="W380" s="5" t="s">
        <v>10</v>
      </c>
      <c r="X380" s="5">
        <v>58</v>
      </c>
      <c r="Y380" s="5" t="s">
        <v>48</v>
      </c>
      <c r="Z380" s="5">
        <v>41</v>
      </c>
      <c r="AA380" s="5" t="s">
        <v>68</v>
      </c>
      <c r="AB380" s="5"/>
      <c r="AC380" s="5"/>
      <c r="AD380" s="5"/>
      <c r="AE380" s="5"/>
      <c r="AF380" s="5" t="s">
        <v>68</v>
      </c>
      <c r="AG380" s="5"/>
      <c r="AH380" s="16" t="s">
        <v>48</v>
      </c>
      <c r="AI380" s="16"/>
      <c r="AJ380" s="16"/>
      <c r="AK380" s="16"/>
      <c r="AL380" s="16"/>
      <c r="AM380" s="16"/>
      <c r="AN380" s="16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</row>
    <row r="381" spans="1:240" s="3" customFormat="1" ht="30" customHeight="1">
      <c r="A381" s="5">
        <v>379</v>
      </c>
      <c r="B381" s="5" t="s">
        <v>68</v>
      </c>
      <c r="C381" s="5"/>
      <c r="D381" s="5"/>
      <c r="E381" s="5">
        <v>3330</v>
      </c>
      <c r="F381" s="5">
        <v>1640</v>
      </c>
      <c r="G381" s="5">
        <v>1200</v>
      </c>
      <c r="H381" s="5">
        <v>360</v>
      </c>
      <c r="I381" s="5" t="s">
        <v>53</v>
      </c>
      <c r="J381" s="5">
        <v>19.692</v>
      </c>
      <c r="K381" s="10">
        <v>5</v>
      </c>
      <c r="L381" s="11">
        <v>106</v>
      </c>
      <c r="M381" s="32">
        <v>8</v>
      </c>
      <c r="N381" s="5">
        <v>40</v>
      </c>
      <c r="O381" s="5">
        <v>36298.800000000003</v>
      </c>
      <c r="P381" s="5" t="s">
        <v>48</v>
      </c>
      <c r="Q381" s="5" t="s">
        <v>48</v>
      </c>
      <c r="R381" s="5">
        <v>2</v>
      </c>
      <c r="S381" s="5">
        <v>800</v>
      </c>
      <c r="T381" s="5" t="s">
        <v>48</v>
      </c>
      <c r="U381" s="5">
        <v>900</v>
      </c>
      <c r="V381" s="5">
        <v>2.9</v>
      </c>
      <c r="W381" s="5" t="s">
        <v>10</v>
      </c>
      <c r="X381" s="5">
        <v>57</v>
      </c>
      <c r="Y381" s="5" t="s">
        <v>48</v>
      </c>
      <c r="Z381" s="5">
        <v>49</v>
      </c>
      <c r="AA381" s="5" t="s">
        <v>68</v>
      </c>
      <c r="AB381" s="5"/>
      <c r="AC381" s="5"/>
      <c r="AD381" s="5"/>
      <c r="AE381" s="5"/>
      <c r="AF381" s="5" t="s">
        <v>68</v>
      </c>
      <c r="AG381" s="5"/>
      <c r="AH381" s="16" t="s">
        <v>48</v>
      </c>
      <c r="AI381" s="16"/>
      <c r="AJ381" s="16"/>
      <c r="AK381" s="16"/>
      <c r="AL381" s="16"/>
      <c r="AM381" s="16"/>
      <c r="AN381" s="16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</row>
    <row r="382" spans="1:240" s="3" customFormat="1" ht="30" customHeight="1">
      <c r="A382" s="5">
        <v>380</v>
      </c>
      <c r="B382" s="5" t="s">
        <v>68</v>
      </c>
      <c r="C382" s="5"/>
      <c r="D382" s="5"/>
      <c r="E382" s="5">
        <v>4880</v>
      </c>
      <c r="F382" s="5">
        <v>1260</v>
      </c>
      <c r="G382" s="5">
        <v>990</v>
      </c>
      <c r="H382" s="5">
        <v>440</v>
      </c>
      <c r="I382" s="5" t="s">
        <v>53</v>
      </c>
      <c r="J382" s="5">
        <v>21.564</v>
      </c>
      <c r="K382" s="10">
        <v>5</v>
      </c>
      <c r="L382" s="11">
        <v>116</v>
      </c>
      <c r="M382" s="32">
        <v>8</v>
      </c>
      <c r="N382" s="5">
        <v>18</v>
      </c>
      <c r="O382" s="5">
        <v>39600</v>
      </c>
      <c r="P382" s="5" t="s">
        <v>48</v>
      </c>
      <c r="Q382" s="5" t="s">
        <v>48</v>
      </c>
      <c r="R382" s="5">
        <v>4</v>
      </c>
      <c r="S382" s="5">
        <v>630</v>
      </c>
      <c r="T382" s="5" t="s">
        <v>48</v>
      </c>
      <c r="U382" s="5">
        <v>870</v>
      </c>
      <c r="V382" s="5">
        <v>2.9</v>
      </c>
      <c r="W382" s="5" t="s">
        <v>10</v>
      </c>
      <c r="X382" s="5">
        <v>58</v>
      </c>
      <c r="Y382" s="5" t="s">
        <v>48</v>
      </c>
      <c r="Z382" s="5">
        <v>55</v>
      </c>
      <c r="AA382" s="5" t="s">
        <v>68</v>
      </c>
      <c r="AB382" s="5"/>
      <c r="AC382" s="5"/>
      <c r="AD382" s="5"/>
      <c r="AE382" s="5"/>
      <c r="AF382" s="5" t="s">
        <v>68</v>
      </c>
      <c r="AG382" s="5"/>
      <c r="AH382" s="16" t="s">
        <v>48</v>
      </c>
      <c r="AI382" s="16"/>
      <c r="AJ382" s="16"/>
      <c r="AK382" s="16"/>
      <c r="AL382" s="16"/>
      <c r="AM382" s="16"/>
      <c r="AN382" s="16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</row>
    <row r="383" spans="1:240" s="3" customFormat="1" ht="30" customHeight="1">
      <c r="A383" s="5">
        <v>381</v>
      </c>
      <c r="B383" s="5" t="s">
        <v>68</v>
      </c>
      <c r="C383" s="5"/>
      <c r="D383" s="5"/>
      <c r="E383" s="5">
        <v>4830</v>
      </c>
      <c r="F383" s="5">
        <v>1640</v>
      </c>
      <c r="G383" s="5">
        <v>1500</v>
      </c>
      <c r="H383" s="5">
        <v>440</v>
      </c>
      <c r="I383" s="5" t="s">
        <v>53</v>
      </c>
      <c r="J383" s="5">
        <v>24.876000000000001</v>
      </c>
      <c r="K383" s="10">
        <v>5</v>
      </c>
      <c r="L383" s="11">
        <v>134</v>
      </c>
      <c r="M383" s="32">
        <v>8</v>
      </c>
      <c r="N383" s="5">
        <v>23</v>
      </c>
      <c r="O383" s="5">
        <v>56199.6</v>
      </c>
      <c r="P383" s="5" t="s">
        <v>48</v>
      </c>
      <c r="Q383" s="5" t="s">
        <v>48</v>
      </c>
      <c r="R383" s="5">
        <v>3</v>
      </c>
      <c r="S383" s="5">
        <v>800</v>
      </c>
      <c r="T383" s="5" t="s">
        <v>48</v>
      </c>
      <c r="U383" s="5">
        <v>900</v>
      </c>
      <c r="V383" s="5">
        <v>4.4000000000000004</v>
      </c>
      <c r="W383" s="5" t="s">
        <v>10</v>
      </c>
      <c r="X383" s="5">
        <v>59</v>
      </c>
      <c r="Y383" s="5" t="s">
        <v>48</v>
      </c>
      <c r="Z383" s="5">
        <v>55</v>
      </c>
      <c r="AA383" s="5" t="s">
        <v>68</v>
      </c>
      <c r="AB383" s="5"/>
      <c r="AC383" s="5"/>
      <c r="AD383" s="5"/>
      <c r="AE383" s="5"/>
      <c r="AF383" s="5" t="s">
        <v>68</v>
      </c>
      <c r="AG383" s="5"/>
      <c r="AH383" s="16" t="s">
        <v>48</v>
      </c>
      <c r="AI383" s="16"/>
      <c r="AJ383" s="16"/>
      <c r="AK383" s="16"/>
      <c r="AL383" s="16"/>
      <c r="AM383" s="16"/>
      <c r="AN383" s="16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</row>
    <row r="384" spans="1:240" s="3" customFormat="1" ht="30" customHeight="1">
      <c r="A384" s="5">
        <v>382</v>
      </c>
      <c r="B384" s="5" t="s">
        <v>68</v>
      </c>
      <c r="C384" s="5"/>
      <c r="D384" s="5"/>
      <c r="E384" s="5">
        <v>4840</v>
      </c>
      <c r="F384" s="5">
        <v>1640</v>
      </c>
      <c r="G384" s="5">
        <v>1500</v>
      </c>
      <c r="H384" s="5">
        <v>510</v>
      </c>
      <c r="I384" s="5" t="s">
        <v>53</v>
      </c>
      <c r="J384" s="5">
        <v>28.98</v>
      </c>
      <c r="K384" s="10">
        <v>5</v>
      </c>
      <c r="L384" s="11">
        <v>156</v>
      </c>
      <c r="M384" s="32">
        <v>8</v>
      </c>
      <c r="N384" s="5">
        <v>17</v>
      </c>
      <c r="O384" s="5">
        <v>54399.6</v>
      </c>
      <c r="P384" s="5" t="s">
        <v>48</v>
      </c>
      <c r="Q384" s="5" t="s">
        <v>48</v>
      </c>
      <c r="R384" s="5">
        <v>3</v>
      </c>
      <c r="S384" s="5">
        <v>800</v>
      </c>
      <c r="T384" s="5" t="s">
        <v>48</v>
      </c>
      <c r="U384" s="5">
        <v>900</v>
      </c>
      <c r="V384" s="5">
        <v>4.4000000000000004</v>
      </c>
      <c r="W384" s="5" t="s">
        <v>10</v>
      </c>
      <c r="X384" s="5">
        <v>59</v>
      </c>
      <c r="Y384" s="5" t="s">
        <v>48</v>
      </c>
      <c r="Z384" s="5">
        <v>73</v>
      </c>
      <c r="AA384" s="5" t="s">
        <v>68</v>
      </c>
      <c r="AB384" s="5"/>
      <c r="AC384" s="5"/>
      <c r="AD384" s="5"/>
      <c r="AE384" s="5"/>
      <c r="AF384" s="5" t="s">
        <v>68</v>
      </c>
      <c r="AG384" s="5"/>
      <c r="AH384" s="16" t="s">
        <v>48</v>
      </c>
      <c r="AI384" s="16"/>
      <c r="AJ384" s="16"/>
      <c r="AK384" s="16"/>
      <c r="AL384" s="16"/>
      <c r="AM384" s="16"/>
      <c r="AN384" s="16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</row>
    <row r="385" spans="1:240" s="3" customFormat="1" ht="30" customHeight="1">
      <c r="A385" s="5">
        <v>383</v>
      </c>
      <c r="B385" s="5" t="s">
        <v>68</v>
      </c>
      <c r="C385" s="5"/>
      <c r="D385" s="5"/>
      <c r="E385" s="5">
        <v>6340</v>
      </c>
      <c r="F385" s="5">
        <v>1640</v>
      </c>
      <c r="G385" s="5">
        <v>1500</v>
      </c>
      <c r="H385" s="5">
        <v>580</v>
      </c>
      <c r="I385" s="5" t="s">
        <v>53</v>
      </c>
      <c r="J385" s="5">
        <v>33.984000000000002</v>
      </c>
      <c r="K385" s="10">
        <v>5</v>
      </c>
      <c r="L385" s="11">
        <v>183</v>
      </c>
      <c r="M385" s="32">
        <v>8</v>
      </c>
      <c r="N385" s="5">
        <v>48</v>
      </c>
      <c r="O385" s="5">
        <v>74998.8</v>
      </c>
      <c r="P385" s="5" t="s">
        <v>48</v>
      </c>
      <c r="Q385" s="5" t="s">
        <v>48</v>
      </c>
      <c r="R385" s="5">
        <v>4</v>
      </c>
      <c r="S385" s="5">
        <v>800</v>
      </c>
      <c r="T385" s="5" t="s">
        <v>48</v>
      </c>
      <c r="U385" s="5">
        <v>900</v>
      </c>
      <c r="V385" s="5">
        <v>5.8</v>
      </c>
      <c r="W385" s="5" t="s">
        <v>10</v>
      </c>
      <c r="X385" s="5">
        <v>60</v>
      </c>
      <c r="Y385" s="5" t="s">
        <v>48</v>
      </c>
      <c r="Z385" s="5">
        <v>73</v>
      </c>
      <c r="AA385" s="5" t="s">
        <v>68</v>
      </c>
      <c r="AB385" s="5"/>
      <c r="AC385" s="5"/>
      <c r="AD385" s="5"/>
      <c r="AE385" s="5"/>
      <c r="AF385" s="5" t="s">
        <v>68</v>
      </c>
      <c r="AG385" s="5"/>
      <c r="AH385" s="16" t="s">
        <v>48</v>
      </c>
      <c r="AI385" s="16"/>
      <c r="AJ385" s="16"/>
      <c r="AK385" s="16"/>
      <c r="AL385" s="16"/>
      <c r="AM385" s="16"/>
      <c r="AN385" s="16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</row>
    <row r="386" spans="1:240" s="3" customFormat="1" ht="30" customHeight="1">
      <c r="A386" s="5">
        <v>384</v>
      </c>
      <c r="B386" s="5" t="s">
        <v>68</v>
      </c>
      <c r="C386" s="5"/>
      <c r="D386" s="5"/>
      <c r="E386" s="5">
        <v>6375</v>
      </c>
      <c r="F386" s="5">
        <v>1640</v>
      </c>
      <c r="G386" s="5">
        <v>1500</v>
      </c>
      <c r="H386" s="5">
        <v>670</v>
      </c>
      <c r="I386" s="5" t="s">
        <v>53</v>
      </c>
      <c r="J386" s="14">
        <v>39.384</v>
      </c>
      <c r="K386" s="10">
        <v>5</v>
      </c>
      <c r="L386" s="11">
        <v>212</v>
      </c>
      <c r="M386" s="32">
        <v>8</v>
      </c>
      <c r="N386" s="5">
        <v>36</v>
      </c>
      <c r="O386" s="5">
        <v>72500.399999999994</v>
      </c>
      <c r="P386" s="5" t="s">
        <v>48</v>
      </c>
      <c r="Q386" s="5" t="s">
        <v>48</v>
      </c>
      <c r="R386" s="5">
        <v>4</v>
      </c>
      <c r="S386" s="5">
        <v>800</v>
      </c>
      <c r="T386" s="5" t="s">
        <v>48</v>
      </c>
      <c r="U386" s="5">
        <v>900</v>
      </c>
      <c r="V386" s="5">
        <v>5.8</v>
      </c>
      <c r="W386" s="5" t="s">
        <v>10</v>
      </c>
      <c r="X386" s="5">
        <v>60</v>
      </c>
      <c r="Y386" s="5" t="s">
        <v>48</v>
      </c>
      <c r="Z386" s="5">
        <v>97</v>
      </c>
      <c r="AA386" s="5" t="s">
        <v>68</v>
      </c>
      <c r="AB386" s="5"/>
      <c r="AC386" s="5"/>
      <c r="AD386" s="5"/>
      <c r="AE386" s="5"/>
      <c r="AF386" s="5" t="s">
        <v>68</v>
      </c>
      <c r="AG386" s="5"/>
      <c r="AH386" s="16" t="s">
        <v>48</v>
      </c>
      <c r="AI386" s="16"/>
      <c r="AJ386" s="16"/>
      <c r="AK386" s="16"/>
      <c r="AL386" s="16"/>
      <c r="AM386" s="16"/>
      <c r="AN386" s="16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</row>
    <row r="387" spans="1:240" s="3" customFormat="1" ht="30" customHeight="1">
      <c r="A387" s="5">
        <v>385</v>
      </c>
      <c r="B387" s="5" t="s">
        <v>68</v>
      </c>
      <c r="C387" s="5"/>
      <c r="D387" s="5"/>
      <c r="E387" s="5">
        <v>4605</v>
      </c>
      <c r="F387" s="5">
        <v>2420</v>
      </c>
      <c r="G387" s="5">
        <v>1500</v>
      </c>
      <c r="H387" s="5">
        <v>690</v>
      </c>
      <c r="I387" s="5" t="s">
        <v>53</v>
      </c>
      <c r="J387" s="5">
        <v>41.795999999999999</v>
      </c>
      <c r="K387" s="10">
        <v>5</v>
      </c>
      <c r="L387" s="11">
        <v>225</v>
      </c>
      <c r="M387" s="32">
        <v>8</v>
      </c>
      <c r="N387" s="5">
        <v>65</v>
      </c>
      <c r="O387" s="5">
        <v>100501.2</v>
      </c>
      <c r="P387" s="5" t="s">
        <v>48</v>
      </c>
      <c r="Q387" s="5" t="s">
        <v>48</v>
      </c>
      <c r="R387" s="5">
        <v>6</v>
      </c>
      <c r="S387" s="5">
        <v>800</v>
      </c>
      <c r="T387" s="5" t="s">
        <v>48</v>
      </c>
      <c r="U387" s="5">
        <v>900</v>
      </c>
      <c r="V387" s="5">
        <v>8.6999999999999993</v>
      </c>
      <c r="W387" s="5" t="s">
        <v>10</v>
      </c>
      <c r="X387" s="5">
        <v>62</v>
      </c>
      <c r="Y387" s="5" t="s">
        <v>48</v>
      </c>
      <c r="Z387" s="5">
        <v>137</v>
      </c>
      <c r="AA387" s="5" t="s">
        <v>68</v>
      </c>
      <c r="AB387" s="5"/>
      <c r="AC387" s="5"/>
      <c r="AD387" s="5"/>
      <c r="AE387" s="5"/>
      <c r="AF387" s="5" t="s">
        <v>68</v>
      </c>
      <c r="AG387" s="5"/>
      <c r="AH387" s="16" t="s">
        <v>48</v>
      </c>
      <c r="AI387" s="16"/>
      <c r="AJ387" s="16"/>
      <c r="AK387" s="16"/>
      <c r="AL387" s="16"/>
      <c r="AM387" s="16"/>
      <c r="AN387" s="16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</row>
    <row r="388" spans="1:240" s="3" customFormat="1" ht="30" customHeight="1">
      <c r="A388" s="5">
        <v>386</v>
      </c>
      <c r="B388" s="5" t="s">
        <v>68</v>
      </c>
      <c r="C388" s="5"/>
      <c r="D388" s="5"/>
      <c r="E388" s="5">
        <v>3805</v>
      </c>
      <c r="F388" s="5">
        <v>2440</v>
      </c>
      <c r="G388" s="5">
        <v>1770</v>
      </c>
      <c r="H388" s="5">
        <v>830</v>
      </c>
      <c r="I388" s="5" t="s">
        <v>53</v>
      </c>
      <c r="J388" s="5">
        <v>44.387999999999998</v>
      </c>
      <c r="K388" s="10">
        <v>5</v>
      </c>
      <c r="L388" s="11">
        <v>239</v>
      </c>
      <c r="M388" s="32">
        <v>8</v>
      </c>
      <c r="N388" s="5">
        <v>81</v>
      </c>
      <c r="O388" s="5">
        <v>94399.2</v>
      </c>
      <c r="P388" s="5" t="s">
        <v>48</v>
      </c>
      <c r="Q388" s="5" t="s">
        <v>48</v>
      </c>
      <c r="R388" s="5">
        <v>4</v>
      </c>
      <c r="S388" s="5">
        <v>1000</v>
      </c>
      <c r="T388" s="5" t="s">
        <v>48</v>
      </c>
      <c r="U388" s="5">
        <v>670</v>
      </c>
      <c r="V388" s="5">
        <v>8.8000000000000007</v>
      </c>
      <c r="W388" s="5" t="s">
        <v>10</v>
      </c>
      <c r="X388" s="5">
        <v>62</v>
      </c>
      <c r="Y388" s="5" t="s">
        <v>48</v>
      </c>
      <c r="Z388" s="5">
        <v>89</v>
      </c>
      <c r="AA388" s="5" t="s">
        <v>68</v>
      </c>
      <c r="AB388" s="5"/>
      <c r="AC388" s="5"/>
      <c r="AD388" s="5"/>
      <c r="AE388" s="5"/>
      <c r="AF388" s="5" t="s">
        <v>68</v>
      </c>
      <c r="AG388" s="5"/>
      <c r="AH388" s="16" t="s">
        <v>48</v>
      </c>
      <c r="AI388" s="16"/>
      <c r="AJ388" s="16"/>
      <c r="AK388" s="16"/>
      <c r="AL388" s="16"/>
      <c r="AM388" s="16"/>
      <c r="AN388" s="16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</row>
    <row r="389" spans="1:240" s="3" customFormat="1" ht="30" customHeight="1">
      <c r="A389" s="5">
        <v>387</v>
      </c>
      <c r="B389" s="5" t="s">
        <v>68</v>
      </c>
      <c r="C389" s="5"/>
      <c r="D389" s="5"/>
      <c r="E389" s="5">
        <v>6375</v>
      </c>
      <c r="F389" s="5">
        <v>1640</v>
      </c>
      <c r="G389" s="5">
        <v>1570</v>
      </c>
      <c r="H389" s="5">
        <v>705</v>
      </c>
      <c r="I389" s="5" t="s">
        <v>53</v>
      </c>
      <c r="J389" s="5">
        <v>47.915999999999997</v>
      </c>
      <c r="K389" s="10">
        <v>5</v>
      </c>
      <c r="L389" s="11">
        <v>258</v>
      </c>
      <c r="M389" s="32">
        <v>8</v>
      </c>
      <c r="N389" s="5">
        <v>52</v>
      </c>
      <c r="O389" s="5">
        <v>101998.8</v>
      </c>
      <c r="P389" s="5" t="s">
        <v>48</v>
      </c>
      <c r="Q389" s="5" t="s">
        <v>48</v>
      </c>
      <c r="R389" s="5">
        <v>4</v>
      </c>
      <c r="S389" s="5">
        <v>900</v>
      </c>
      <c r="T389" s="5" t="s">
        <v>48</v>
      </c>
      <c r="U389" s="5">
        <v>850</v>
      </c>
      <c r="V389" s="5">
        <v>13.2</v>
      </c>
      <c r="W389" s="5" t="s">
        <v>10</v>
      </c>
      <c r="X389" s="5">
        <v>64</v>
      </c>
      <c r="Y389" s="5" t="s">
        <v>48</v>
      </c>
      <c r="Z389" s="5">
        <v>97</v>
      </c>
      <c r="AA389" s="5" t="s">
        <v>68</v>
      </c>
      <c r="AB389" s="5"/>
      <c r="AC389" s="5"/>
      <c r="AD389" s="5"/>
      <c r="AE389" s="5"/>
      <c r="AF389" s="5" t="s">
        <v>68</v>
      </c>
      <c r="AG389" s="5"/>
      <c r="AH389" s="16" t="s">
        <v>48</v>
      </c>
      <c r="AI389" s="16"/>
      <c r="AJ389" s="16"/>
      <c r="AK389" s="16"/>
      <c r="AL389" s="16"/>
      <c r="AM389" s="16"/>
      <c r="AN389" s="16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</row>
    <row r="390" spans="1:240" s="3" customFormat="1" ht="30" customHeight="1">
      <c r="A390" s="5">
        <v>388</v>
      </c>
      <c r="B390" s="5" t="s">
        <v>68</v>
      </c>
      <c r="C390" s="5"/>
      <c r="D390" s="5"/>
      <c r="E390" s="5">
        <v>1000</v>
      </c>
      <c r="F390" s="5">
        <v>1000</v>
      </c>
      <c r="G390" s="5">
        <v>950</v>
      </c>
      <c r="H390" s="5">
        <v>110</v>
      </c>
      <c r="I390" s="5" t="s">
        <v>13</v>
      </c>
      <c r="J390" s="5">
        <v>1.56</v>
      </c>
      <c r="K390" s="10">
        <v>5</v>
      </c>
      <c r="L390" s="11">
        <v>9</v>
      </c>
      <c r="M390" s="31">
        <v>5</v>
      </c>
      <c r="N390" s="5" t="s">
        <v>48</v>
      </c>
      <c r="O390" s="5">
        <v>13800</v>
      </c>
      <c r="P390" s="5" t="s">
        <v>48</v>
      </c>
      <c r="Q390" s="5" t="s">
        <v>48</v>
      </c>
      <c r="R390" s="5">
        <v>1</v>
      </c>
      <c r="S390" s="5">
        <v>630</v>
      </c>
      <c r="T390" s="5" t="s">
        <v>48</v>
      </c>
      <c r="U390" s="5" t="s">
        <v>48</v>
      </c>
      <c r="V390" s="5">
        <f t="shared" ref="V390:V409" si="25">1.6*R390</f>
        <v>1.6</v>
      </c>
      <c r="W390" s="5" t="s">
        <v>56</v>
      </c>
      <c r="X390" s="5">
        <v>58</v>
      </c>
      <c r="Y390" s="5">
        <v>37.1</v>
      </c>
      <c r="Z390" s="5">
        <v>8</v>
      </c>
      <c r="AA390" s="5" t="s">
        <v>68</v>
      </c>
      <c r="AB390" s="5"/>
      <c r="AC390" s="5"/>
      <c r="AD390" s="5"/>
      <c r="AE390" s="5"/>
      <c r="AF390" s="5" t="s">
        <v>68</v>
      </c>
      <c r="AG390" s="5"/>
      <c r="AH390" s="16" t="s">
        <v>48</v>
      </c>
      <c r="AI390" s="16"/>
      <c r="AJ390" s="16"/>
      <c r="AK390" s="16"/>
      <c r="AL390" s="16"/>
      <c r="AM390" s="16"/>
      <c r="AN390" s="16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</row>
    <row r="391" spans="1:240" s="3" customFormat="1" ht="30" customHeight="1">
      <c r="A391" s="5">
        <v>389</v>
      </c>
      <c r="B391" s="5" t="s">
        <v>68</v>
      </c>
      <c r="C391" s="5"/>
      <c r="D391" s="5"/>
      <c r="E391" s="5">
        <v>1000</v>
      </c>
      <c r="F391" s="5">
        <v>1000</v>
      </c>
      <c r="G391" s="5">
        <v>950</v>
      </c>
      <c r="H391" s="5">
        <v>120</v>
      </c>
      <c r="I391" s="5" t="s">
        <v>13</v>
      </c>
      <c r="J391" s="5">
        <v>2.2000000000000002</v>
      </c>
      <c r="K391" s="10">
        <v>5</v>
      </c>
      <c r="L391" s="11">
        <v>13</v>
      </c>
      <c r="M391" s="31">
        <v>5</v>
      </c>
      <c r="N391" s="5" t="s">
        <v>48</v>
      </c>
      <c r="O391" s="5">
        <v>13200</v>
      </c>
      <c r="P391" s="5" t="s">
        <v>48</v>
      </c>
      <c r="Q391" s="5" t="s">
        <v>48</v>
      </c>
      <c r="R391" s="5">
        <v>1</v>
      </c>
      <c r="S391" s="5">
        <v>630</v>
      </c>
      <c r="T391" s="5" t="s">
        <v>48</v>
      </c>
      <c r="U391" s="5" t="s">
        <v>48</v>
      </c>
      <c r="V391" s="5">
        <f t="shared" si="25"/>
        <v>1.6</v>
      </c>
      <c r="W391" s="5" t="s">
        <v>56</v>
      </c>
      <c r="X391" s="5">
        <v>58</v>
      </c>
      <c r="Y391" s="5">
        <v>55.7</v>
      </c>
      <c r="Z391" s="5">
        <v>13</v>
      </c>
      <c r="AA391" s="5" t="s">
        <v>68</v>
      </c>
      <c r="AB391" s="5"/>
      <c r="AC391" s="5"/>
      <c r="AD391" s="5"/>
      <c r="AE391" s="5"/>
      <c r="AF391" s="5" t="s">
        <v>68</v>
      </c>
      <c r="AG391" s="5"/>
      <c r="AH391" s="16" t="s">
        <v>48</v>
      </c>
      <c r="AI391" s="16"/>
      <c r="AJ391" s="16"/>
      <c r="AK391" s="16"/>
      <c r="AL391" s="16"/>
      <c r="AM391" s="16"/>
      <c r="AN391" s="16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</row>
    <row r="392" spans="1:240" s="3" customFormat="1" ht="30" customHeight="1">
      <c r="A392" s="5">
        <v>390</v>
      </c>
      <c r="B392" s="5" t="s">
        <v>68</v>
      </c>
      <c r="C392" s="5"/>
      <c r="D392" s="5"/>
      <c r="E392" s="5">
        <v>1000</v>
      </c>
      <c r="F392" s="5">
        <v>1000</v>
      </c>
      <c r="G392" s="5">
        <v>950</v>
      </c>
      <c r="H392" s="5">
        <v>130</v>
      </c>
      <c r="I392" s="5" t="s">
        <v>13</v>
      </c>
      <c r="J392" s="5">
        <v>2.74</v>
      </c>
      <c r="K392" s="10">
        <v>5</v>
      </c>
      <c r="L392" s="11">
        <v>16</v>
      </c>
      <c r="M392" s="31">
        <v>5</v>
      </c>
      <c r="N392" s="5" t="s">
        <v>48</v>
      </c>
      <c r="O392" s="5">
        <v>12200</v>
      </c>
      <c r="P392" s="5" t="s">
        <v>48</v>
      </c>
      <c r="Q392" s="5" t="s">
        <v>48</v>
      </c>
      <c r="R392" s="5">
        <v>1</v>
      </c>
      <c r="S392" s="5">
        <v>630</v>
      </c>
      <c r="T392" s="5" t="s">
        <v>48</v>
      </c>
      <c r="U392" s="5" t="s">
        <v>48</v>
      </c>
      <c r="V392" s="5">
        <f t="shared" si="25"/>
        <v>1.6</v>
      </c>
      <c r="W392" s="5" t="s">
        <v>56</v>
      </c>
      <c r="X392" s="5">
        <v>58</v>
      </c>
      <c r="Y392" s="5">
        <v>74.3</v>
      </c>
      <c r="Z392" s="5">
        <v>16</v>
      </c>
      <c r="AA392" s="5" t="s">
        <v>68</v>
      </c>
      <c r="AB392" s="5"/>
      <c r="AC392" s="5"/>
      <c r="AD392" s="5"/>
      <c r="AE392" s="5"/>
      <c r="AF392" s="5" t="s">
        <v>68</v>
      </c>
      <c r="AG392" s="5"/>
      <c r="AH392" s="16" t="s">
        <v>48</v>
      </c>
      <c r="AI392" s="16"/>
      <c r="AJ392" s="16"/>
      <c r="AK392" s="16"/>
      <c r="AL392" s="16"/>
      <c r="AM392" s="16"/>
      <c r="AN392" s="16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</row>
    <row r="393" spans="1:240" s="3" customFormat="1" ht="30" customHeight="1">
      <c r="A393" s="5">
        <v>391</v>
      </c>
      <c r="B393" s="5" t="s">
        <v>68</v>
      </c>
      <c r="C393" s="5"/>
      <c r="D393" s="5"/>
      <c r="E393" s="5">
        <v>1000</v>
      </c>
      <c r="F393" s="5">
        <v>1000</v>
      </c>
      <c r="G393" s="5">
        <v>950</v>
      </c>
      <c r="H393" s="5">
        <v>140</v>
      </c>
      <c r="I393" s="5" t="s">
        <v>13</v>
      </c>
      <c r="J393" s="5">
        <v>3.08</v>
      </c>
      <c r="K393" s="10">
        <v>5</v>
      </c>
      <c r="L393" s="11">
        <v>18</v>
      </c>
      <c r="M393" s="31">
        <v>5</v>
      </c>
      <c r="N393" s="5" t="s">
        <v>48</v>
      </c>
      <c r="O393" s="5">
        <v>11400</v>
      </c>
      <c r="P393" s="5" t="s">
        <v>48</v>
      </c>
      <c r="Q393" s="5" t="s">
        <v>48</v>
      </c>
      <c r="R393" s="5">
        <v>1</v>
      </c>
      <c r="S393" s="5">
        <v>630</v>
      </c>
      <c r="T393" s="5" t="s">
        <v>48</v>
      </c>
      <c r="U393" s="5" t="s">
        <v>48</v>
      </c>
      <c r="V393" s="5">
        <f t="shared" si="25"/>
        <v>1.6</v>
      </c>
      <c r="W393" s="5" t="s">
        <v>56</v>
      </c>
      <c r="X393" s="5">
        <v>58</v>
      </c>
      <c r="Y393" s="5">
        <v>92.8</v>
      </c>
      <c r="Z393" s="5">
        <v>19</v>
      </c>
      <c r="AA393" s="5" t="s">
        <v>68</v>
      </c>
      <c r="AB393" s="5"/>
      <c r="AC393" s="5"/>
      <c r="AD393" s="5"/>
      <c r="AE393" s="5"/>
      <c r="AF393" s="5" t="s">
        <v>68</v>
      </c>
      <c r="AG393" s="5"/>
      <c r="AH393" s="16" t="s">
        <v>48</v>
      </c>
      <c r="AI393" s="16"/>
      <c r="AJ393" s="16"/>
      <c r="AK393" s="16"/>
      <c r="AL393" s="16"/>
      <c r="AM393" s="16"/>
      <c r="AN393" s="16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</row>
    <row r="394" spans="1:240" s="3" customFormat="1" ht="30" customHeight="1">
      <c r="A394" s="5">
        <v>392</v>
      </c>
      <c r="B394" s="5" t="s">
        <v>68</v>
      </c>
      <c r="C394" s="5"/>
      <c r="D394" s="5"/>
      <c r="E394" s="5">
        <v>2000</v>
      </c>
      <c r="F394" s="5">
        <v>1000</v>
      </c>
      <c r="G394" s="5">
        <v>950</v>
      </c>
      <c r="H394" s="5">
        <v>210</v>
      </c>
      <c r="I394" s="5" t="s">
        <v>13</v>
      </c>
      <c r="J394" s="5">
        <v>4.5999999999999996</v>
      </c>
      <c r="K394" s="10">
        <v>5</v>
      </c>
      <c r="L394" s="11">
        <v>27</v>
      </c>
      <c r="M394" s="31">
        <v>5</v>
      </c>
      <c r="N394" s="5" t="s">
        <v>48</v>
      </c>
      <c r="O394" s="5">
        <v>26400</v>
      </c>
      <c r="P394" s="5" t="s">
        <v>48</v>
      </c>
      <c r="Q394" s="5" t="s">
        <v>48</v>
      </c>
      <c r="R394" s="5">
        <v>2</v>
      </c>
      <c r="S394" s="5">
        <v>630</v>
      </c>
      <c r="T394" s="5" t="s">
        <v>48</v>
      </c>
      <c r="U394" s="5" t="s">
        <v>48</v>
      </c>
      <c r="V394" s="5">
        <f t="shared" si="25"/>
        <v>3.2</v>
      </c>
      <c r="W394" s="5" t="s">
        <v>56</v>
      </c>
      <c r="X394" s="5">
        <v>61</v>
      </c>
      <c r="Y394" s="5">
        <v>119</v>
      </c>
      <c r="Z394" s="5">
        <v>22</v>
      </c>
      <c r="AA394" s="5" t="s">
        <v>68</v>
      </c>
      <c r="AB394" s="5"/>
      <c r="AC394" s="5"/>
      <c r="AD394" s="5"/>
      <c r="AE394" s="5"/>
      <c r="AF394" s="5" t="s">
        <v>68</v>
      </c>
      <c r="AG394" s="5"/>
      <c r="AH394" s="16" t="s">
        <v>48</v>
      </c>
      <c r="AI394" s="16"/>
      <c r="AJ394" s="16"/>
      <c r="AK394" s="16"/>
      <c r="AL394" s="16"/>
      <c r="AM394" s="16"/>
      <c r="AN394" s="16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</row>
    <row r="395" spans="1:240" s="3" customFormat="1" ht="30" customHeight="1">
      <c r="A395" s="5">
        <v>393</v>
      </c>
      <c r="B395" s="5" t="s">
        <v>68</v>
      </c>
      <c r="C395" s="5"/>
      <c r="D395" s="5"/>
      <c r="E395" s="5">
        <v>2000</v>
      </c>
      <c r="F395" s="5">
        <v>1000</v>
      </c>
      <c r="G395" s="5">
        <v>950</v>
      </c>
      <c r="H395" s="5">
        <v>220</v>
      </c>
      <c r="I395" s="5" t="s">
        <v>13</v>
      </c>
      <c r="J395" s="5">
        <v>5.6</v>
      </c>
      <c r="K395" s="10">
        <v>5</v>
      </c>
      <c r="L395" s="11">
        <v>33</v>
      </c>
      <c r="M395" s="31">
        <v>5</v>
      </c>
      <c r="N395" s="5" t="s">
        <v>48</v>
      </c>
      <c r="O395" s="5">
        <v>24000</v>
      </c>
      <c r="P395" s="5" t="s">
        <v>48</v>
      </c>
      <c r="Q395" s="5" t="s">
        <v>48</v>
      </c>
      <c r="R395" s="5">
        <v>2</v>
      </c>
      <c r="S395" s="5">
        <v>630</v>
      </c>
      <c r="T395" s="5" t="s">
        <v>48</v>
      </c>
      <c r="U395" s="5" t="s">
        <v>48</v>
      </c>
      <c r="V395" s="5">
        <f t="shared" si="25"/>
        <v>3.2</v>
      </c>
      <c r="W395" s="5" t="s">
        <v>56</v>
      </c>
      <c r="X395" s="5">
        <v>61</v>
      </c>
      <c r="Y395" s="5">
        <v>158.6</v>
      </c>
      <c r="Z395" s="5">
        <v>28</v>
      </c>
      <c r="AA395" s="5" t="s">
        <v>68</v>
      </c>
      <c r="AB395" s="5"/>
      <c r="AC395" s="5"/>
      <c r="AD395" s="5"/>
      <c r="AE395" s="5"/>
      <c r="AF395" s="5" t="s">
        <v>68</v>
      </c>
      <c r="AG395" s="5"/>
      <c r="AH395" s="16" t="s">
        <v>48</v>
      </c>
      <c r="AI395" s="16"/>
      <c r="AJ395" s="16"/>
      <c r="AK395" s="16"/>
      <c r="AL395" s="16"/>
      <c r="AM395" s="16"/>
      <c r="AN395" s="16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</row>
    <row r="396" spans="1:240" s="3" customFormat="1" ht="30" customHeight="1">
      <c r="A396" s="5">
        <v>394</v>
      </c>
      <c r="B396" s="5" t="s">
        <v>68</v>
      </c>
      <c r="C396" s="5"/>
      <c r="D396" s="5"/>
      <c r="E396" s="5">
        <v>2000</v>
      </c>
      <c r="F396" s="5">
        <v>1000</v>
      </c>
      <c r="G396" s="5">
        <v>950</v>
      </c>
      <c r="H396" s="5">
        <v>250</v>
      </c>
      <c r="I396" s="5" t="s">
        <v>13</v>
      </c>
      <c r="J396" s="5">
        <v>6.4</v>
      </c>
      <c r="K396" s="10">
        <v>5</v>
      </c>
      <c r="L396" s="11">
        <v>37</v>
      </c>
      <c r="M396" s="31">
        <v>5</v>
      </c>
      <c r="N396" s="5" t="s">
        <v>48</v>
      </c>
      <c r="O396" s="5">
        <v>22800</v>
      </c>
      <c r="P396" s="5" t="s">
        <v>48</v>
      </c>
      <c r="Q396" s="5" t="s">
        <v>48</v>
      </c>
      <c r="R396" s="5">
        <v>2</v>
      </c>
      <c r="S396" s="5">
        <v>630</v>
      </c>
      <c r="T396" s="5" t="s">
        <v>48</v>
      </c>
      <c r="U396" s="5" t="s">
        <v>48</v>
      </c>
      <c r="V396" s="5">
        <f t="shared" si="25"/>
        <v>3.2</v>
      </c>
      <c r="W396" s="5" t="s">
        <v>56</v>
      </c>
      <c r="X396" s="5">
        <v>61</v>
      </c>
      <c r="Y396" s="5">
        <v>198.3</v>
      </c>
      <c r="Z396" s="5">
        <v>51</v>
      </c>
      <c r="AA396" s="5" t="s">
        <v>68</v>
      </c>
      <c r="AB396" s="5"/>
      <c r="AC396" s="5"/>
      <c r="AD396" s="5"/>
      <c r="AE396" s="5"/>
      <c r="AF396" s="5" t="s">
        <v>68</v>
      </c>
      <c r="AG396" s="5"/>
      <c r="AH396" s="16" t="s">
        <v>48</v>
      </c>
      <c r="AI396" s="16"/>
      <c r="AJ396" s="16"/>
      <c r="AK396" s="16"/>
      <c r="AL396" s="16"/>
      <c r="AM396" s="16"/>
      <c r="AN396" s="16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</row>
    <row r="397" spans="1:240" s="3" customFormat="1" ht="30" customHeight="1">
      <c r="A397" s="5">
        <v>395</v>
      </c>
      <c r="B397" s="5" t="s">
        <v>68</v>
      </c>
      <c r="C397" s="5"/>
      <c r="D397" s="5"/>
      <c r="E397" s="5">
        <v>3000</v>
      </c>
      <c r="F397" s="5">
        <v>1000</v>
      </c>
      <c r="G397" s="5">
        <v>950</v>
      </c>
      <c r="H397" s="5">
        <v>290</v>
      </c>
      <c r="I397" s="5" t="s">
        <v>13</v>
      </c>
      <c r="J397" s="5">
        <v>7</v>
      </c>
      <c r="K397" s="10">
        <v>5</v>
      </c>
      <c r="L397" s="11">
        <v>41</v>
      </c>
      <c r="M397" s="31">
        <v>5</v>
      </c>
      <c r="N397" s="5" t="s">
        <v>48</v>
      </c>
      <c r="O397" s="5">
        <v>39600</v>
      </c>
      <c r="P397" s="5" t="s">
        <v>48</v>
      </c>
      <c r="Q397" s="5" t="s">
        <v>48</v>
      </c>
      <c r="R397" s="5">
        <v>3</v>
      </c>
      <c r="S397" s="5">
        <v>630</v>
      </c>
      <c r="T397" s="5" t="s">
        <v>48</v>
      </c>
      <c r="U397" s="5" t="s">
        <v>48</v>
      </c>
      <c r="V397" s="5">
        <f t="shared" si="25"/>
        <v>4.8000000000000007</v>
      </c>
      <c r="W397" s="5" t="s">
        <v>56</v>
      </c>
      <c r="X397" s="5">
        <v>62</v>
      </c>
      <c r="Y397" s="5">
        <v>182.3</v>
      </c>
      <c r="Z397" s="5">
        <v>33</v>
      </c>
      <c r="AA397" s="5" t="s">
        <v>68</v>
      </c>
      <c r="AB397" s="5"/>
      <c r="AC397" s="5"/>
      <c r="AD397" s="5"/>
      <c r="AE397" s="5"/>
      <c r="AF397" s="5" t="s">
        <v>68</v>
      </c>
      <c r="AG397" s="5"/>
      <c r="AH397" s="16" t="s">
        <v>48</v>
      </c>
      <c r="AI397" s="16"/>
      <c r="AJ397" s="16"/>
      <c r="AK397" s="16"/>
      <c r="AL397" s="16"/>
      <c r="AM397" s="16"/>
      <c r="AN397" s="16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</row>
    <row r="398" spans="1:240" s="3" customFormat="1" ht="30" customHeight="1">
      <c r="A398" s="5">
        <v>396</v>
      </c>
      <c r="B398" s="5" t="s">
        <v>68</v>
      </c>
      <c r="C398" s="5"/>
      <c r="D398" s="5"/>
      <c r="E398" s="5">
        <v>3000</v>
      </c>
      <c r="F398" s="5">
        <v>1000</v>
      </c>
      <c r="G398" s="5">
        <v>950</v>
      </c>
      <c r="H398" s="5">
        <v>330</v>
      </c>
      <c r="I398" s="5" t="s">
        <v>13</v>
      </c>
      <c r="J398" s="5">
        <v>8.1999999999999993</v>
      </c>
      <c r="K398" s="10">
        <v>5</v>
      </c>
      <c r="L398" s="11">
        <v>48</v>
      </c>
      <c r="M398" s="31">
        <v>5</v>
      </c>
      <c r="N398" s="5" t="s">
        <v>48</v>
      </c>
      <c r="O398" s="5">
        <v>36300</v>
      </c>
      <c r="P398" s="5" t="s">
        <v>48</v>
      </c>
      <c r="Q398" s="5" t="s">
        <v>48</v>
      </c>
      <c r="R398" s="5">
        <v>3</v>
      </c>
      <c r="S398" s="5">
        <v>630</v>
      </c>
      <c r="T398" s="5" t="s">
        <v>48</v>
      </c>
      <c r="U398" s="5" t="s">
        <v>48</v>
      </c>
      <c r="V398" s="5">
        <f t="shared" si="25"/>
        <v>4.8000000000000007</v>
      </c>
      <c r="W398" s="5" t="s">
        <v>56</v>
      </c>
      <c r="X398" s="5">
        <v>62</v>
      </c>
      <c r="Y398" s="5">
        <v>243</v>
      </c>
      <c r="Z398" s="5">
        <v>42</v>
      </c>
      <c r="AA398" s="5" t="s">
        <v>68</v>
      </c>
      <c r="AB398" s="5"/>
      <c r="AC398" s="5"/>
      <c r="AD398" s="5"/>
      <c r="AE398" s="5"/>
      <c r="AF398" s="5" t="s">
        <v>68</v>
      </c>
      <c r="AG398" s="5"/>
      <c r="AH398" s="16" t="s">
        <v>48</v>
      </c>
      <c r="AI398" s="16"/>
      <c r="AJ398" s="16"/>
      <c r="AK398" s="16"/>
      <c r="AL398" s="16"/>
      <c r="AM398" s="16"/>
      <c r="AN398" s="16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</row>
    <row r="399" spans="1:240" s="3" customFormat="1" ht="30" customHeight="1">
      <c r="A399" s="5">
        <v>397</v>
      </c>
      <c r="B399" s="5" t="s">
        <v>68</v>
      </c>
      <c r="C399" s="5"/>
      <c r="D399" s="5"/>
      <c r="E399" s="5">
        <v>3000</v>
      </c>
      <c r="F399" s="5">
        <v>1000</v>
      </c>
      <c r="G399" s="5">
        <v>950</v>
      </c>
      <c r="H399" s="5">
        <v>360</v>
      </c>
      <c r="I399" s="5" t="s">
        <v>13</v>
      </c>
      <c r="J399" s="5">
        <v>9.8000000000000007</v>
      </c>
      <c r="K399" s="10">
        <v>5</v>
      </c>
      <c r="L399" s="11">
        <v>57</v>
      </c>
      <c r="M399" s="31">
        <v>5</v>
      </c>
      <c r="N399" s="5" t="s">
        <v>48</v>
      </c>
      <c r="O399" s="5">
        <v>34200</v>
      </c>
      <c r="P399" s="5" t="s">
        <v>48</v>
      </c>
      <c r="Q399" s="5" t="s">
        <v>48</v>
      </c>
      <c r="R399" s="5">
        <v>3</v>
      </c>
      <c r="S399" s="5">
        <v>630</v>
      </c>
      <c r="T399" s="5" t="s">
        <v>48</v>
      </c>
      <c r="U399" s="5" t="s">
        <v>48</v>
      </c>
      <c r="V399" s="5">
        <f t="shared" si="25"/>
        <v>4.8000000000000007</v>
      </c>
      <c r="W399" s="5" t="s">
        <v>56</v>
      </c>
      <c r="X399" s="5">
        <v>62</v>
      </c>
      <c r="Y399" s="5">
        <v>303.8</v>
      </c>
      <c r="Z399" s="5">
        <v>51</v>
      </c>
      <c r="AA399" s="5" t="s">
        <v>68</v>
      </c>
      <c r="AB399" s="5"/>
      <c r="AC399" s="5"/>
      <c r="AD399" s="5"/>
      <c r="AE399" s="5"/>
      <c r="AF399" s="5" t="s">
        <v>68</v>
      </c>
      <c r="AG399" s="5"/>
      <c r="AH399" s="16" t="s">
        <v>48</v>
      </c>
      <c r="AI399" s="16"/>
      <c r="AJ399" s="16"/>
      <c r="AK399" s="16"/>
      <c r="AL399" s="16"/>
      <c r="AM399" s="16"/>
      <c r="AN399" s="16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</row>
    <row r="400" spans="1:240" s="3" customFormat="1" ht="30" customHeight="1">
      <c r="A400" s="5">
        <v>398</v>
      </c>
      <c r="B400" s="5" t="s">
        <v>68</v>
      </c>
      <c r="C400" s="5"/>
      <c r="D400" s="5"/>
      <c r="E400" s="5">
        <v>2000</v>
      </c>
      <c r="F400" s="5">
        <v>2000</v>
      </c>
      <c r="G400" s="5">
        <v>950</v>
      </c>
      <c r="H400" s="5">
        <v>400</v>
      </c>
      <c r="I400" s="5" t="s">
        <v>13</v>
      </c>
      <c r="J400" s="5">
        <v>9.1999999999999993</v>
      </c>
      <c r="K400" s="10">
        <v>5</v>
      </c>
      <c r="L400" s="11">
        <v>53</v>
      </c>
      <c r="M400" s="31">
        <v>5</v>
      </c>
      <c r="N400" s="5" t="s">
        <v>48</v>
      </c>
      <c r="O400" s="5">
        <v>52800</v>
      </c>
      <c r="P400" s="5" t="s">
        <v>48</v>
      </c>
      <c r="Q400" s="5" t="s">
        <v>48</v>
      </c>
      <c r="R400" s="5">
        <v>4</v>
      </c>
      <c r="S400" s="5">
        <v>630</v>
      </c>
      <c r="T400" s="5" t="s">
        <v>48</v>
      </c>
      <c r="U400" s="5" t="s">
        <v>48</v>
      </c>
      <c r="V400" s="5">
        <f t="shared" si="25"/>
        <v>6.4</v>
      </c>
      <c r="W400" s="5" t="s">
        <v>56</v>
      </c>
      <c r="X400" s="5">
        <v>64</v>
      </c>
      <c r="Y400" s="5">
        <v>237.9</v>
      </c>
      <c r="Z400" s="5">
        <v>46</v>
      </c>
      <c r="AA400" s="5" t="s">
        <v>68</v>
      </c>
      <c r="AB400" s="5"/>
      <c r="AC400" s="5"/>
      <c r="AD400" s="5"/>
      <c r="AE400" s="5"/>
      <c r="AF400" s="5" t="s">
        <v>68</v>
      </c>
      <c r="AG400" s="5"/>
      <c r="AH400" s="16" t="s">
        <v>48</v>
      </c>
      <c r="AI400" s="16"/>
      <c r="AJ400" s="16"/>
      <c r="AK400" s="16"/>
      <c r="AL400" s="16"/>
      <c r="AM400" s="16"/>
      <c r="AN400" s="16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</row>
    <row r="401" spans="1:240" s="3" customFormat="1" ht="30" customHeight="1">
      <c r="A401" s="5">
        <v>399</v>
      </c>
      <c r="B401" s="5" t="s">
        <v>68</v>
      </c>
      <c r="C401" s="5"/>
      <c r="D401" s="5"/>
      <c r="E401" s="5">
        <v>2000</v>
      </c>
      <c r="F401" s="5">
        <v>2000</v>
      </c>
      <c r="G401" s="5">
        <v>950</v>
      </c>
      <c r="H401" s="5">
        <v>430</v>
      </c>
      <c r="I401" s="5" t="s">
        <v>13</v>
      </c>
      <c r="J401" s="5">
        <v>11.2</v>
      </c>
      <c r="K401" s="10">
        <v>5</v>
      </c>
      <c r="L401" s="11">
        <v>65</v>
      </c>
      <c r="M401" s="31">
        <v>5</v>
      </c>
      <c r="N401" s="5" t="s">
        <v>48</v>
      </c>
      <c r="O401" s="5">
        <v>48800</v>
      </c>
      <c r="P401" s="5" t="s">
        <v>48</v>
      </c>
      <c r="Q401" s="5" t="s">
        <v>48</v>
      </c>
      <c r="R401" s="5">
        <v>4</v>
      </c>
      <c r="S401" s="5">
        <v>630</v>
      </c>
      <c r="T401" s="5" t="s">
        <v>48</v>
      </c>
      <c r="U401" s="5" t="s">
        <v>48</v>
      </c>
      <c r="V401" s="5">
        <f t="shared" si="25"/>
        <v>6.4</v>
      </c>
      <c r="W401" s="5" t="s">
        <v>56</v>
      </c>
      <c r="X401" s="5">
        <v>64</v>
      </c>
      <c r="Y401" s="5">
        <v>317.3</v>
      </c>
      <c r="Z401" s="5">
        <v>58</v>
      </c>
      <c r="AA401" s="5" t="s">
        <v>68</v>
      </c>
      <c r="AB401" s="5"/>
      <c r="AC401" s="5"/>
      <c r="AD401" s="5"/>
      <c r="AE401" s="5"/>
      <c r="AF401" s="5" t="s">
        <v>68</v>
      </c>
      <c r="AG401" s="5"/>
      <c r="AH401" s="16" t="s">
        <v>48</v>
      </c>
      <c r="AI401" s="16"/>
      <c r="AJ401" s="16"/>
      <c r="AK401" s="16"/>
      <c r="AL401" s="16"/>
      <c r="AM401" s="16"/>
      <c r="AN401" s="16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</row>
    <row r="402" spans="1:240" s="3" customFormat="1" ht="30" customHeight="1">
      <c r="A402" s="5">
        <v>400</v>
      </c>
      <c r="B402" s="5" t="s">
        <v>68</v>
      </c>
      <c r="C402" s="5"/>
      <c r="D402" s="5"/>
      <c r="E402" s="5">
        <v>2000</v>
      </c>
      <c r="F402" s="5">
        <v>2000</v>
      </c>
      <c r="G402" s="5">
        <v>950</v>
      </c>
      <c r="H402" s="5">
        <v>480</v>
      </c>
      <c r="I402" s="5" t="s">
        <v>13</v>
      </c>
      <c r="J402" s="5">
        <v>12.6</v>
      </c>
      <c r="K402" s="10">
        <v>5</v>
      </c>
      <c r="L402" s="11">
        <v>73</v>
      </c>
      <c r="M402" s="31">
        <v>5</v>
      </c>
      <c r="N402" s="5" t="s">
        <v>48</v>
      </c>
      <c r="O402" s="5">
        <v>45600</v>
      </c>
      <c r="P402" s="5" t="s">
        <v>48</v>
      </c>
      <c r="Q402" s="5" t="s">
        <v>48</v>
      </c>
      <c r="R402" s="5">
        <v>4</v>
      </c>
      <c r="S402" s="5">
        <v>630</v>
      </c>
      <c r="T402" s="5" t="s">
        <v>48</v>
      </c>
      <c r="U402" s="5" t="s">
        <v>48</v>
      </c>
      <c r="V402" s="5">
        <f t="shared" si="25"/>
        <v>6.4</v>
      </c>
      <c r="W402" s="5" t="s">
        <v>56</v>
      </c>
      <c r="X402" s="5">
        <v>64</v>
      </c>
      <c r="Y402" s="5">
        <v>396.6</v>
      </c>
      <c r="Z402" s="5">
        <v>77</v>
      </c>
      <c r="AA402" s="5" t="s">
        <v>68</v>
      </c>
      <c r="AB402" s="5"/>
      <c r="AC402" s="5"/>
      <c r="AD402" s="5"/>
      <c r="AE402" s="5"/>
      <c r="AF402" s="5" t="s">
        <v>68</v>
      </c>
      <c r="AG402" s="5"/>
      <c r="AH402" s="16" t="s">
        <v>48</v>
      </c>
      <c r="AI402" s="16"/>
      <c r="AJ402" s="16"/>
      <c r="AK402" s="16"/>
      <c r="AL402" s="16"/>
      <c r="AM402" s="16"/>
      <c r="AN402" s="16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</row>
    <row r="403" spans="1:240" s="3" customFormat="1" ht="30" customHeight="1">
      <c r="A403" s="5">
        <v>401</v>
      </c>
      <c r="B403" s="5" t="s">
        <v>68</v>
      </c>
      <c r="C403" s="5"/>
      <c r="D403" s="5"/>
      <c r="E403" s="5">
        <v>2000</v>
      </c>
      <c r="F403" s="5">
        <v>2000</v>
      </c>
      <c r="G403" s="5">
        <v>950</v>
      </c>
      <c r="H403" s="5">
        <v>520</v>
      </c>
      <c r="I403" s="5" t="s">
        <v>13</v>
      </c>
      <c r="J403" s="5">
        <v>15.2</v>
      </c>
      <c r="K403" s="10">
        <v>5</v>
      </c>
      <c r="L403" s="11">
        <v>88</v>
      </c>
      <c r="M403" s="31">
        <v>5</v>
      </c>
      <c r="N403" s="5" t="s">
        <v>48</v>
      </c>
      <c r="O403" s="5">
        <v>44000</v>
      </c>
      <c r="P403" s="5" t="s">
        <v>48</v>
      </c>
      <c r="Q403" s="5" t="s">
        <v>48</v>
      </c>
      <c r="R403" s="5">
        <v>4</v>
      </c>
      <c r="S403" s="5">
        <v>630</v>
      </c>
      <c r="T403" s="5" t="s">
        <v>48</v>
      </c>
      <c r="U403" s="5" t="s">
        <v>48</v>
      </c>
      <c r="V403" s="5">
        <f t="shared" si="25"/>
        <v>6.4</v>
      </c>
      <c r="W403" s="5" t="s">
        <v>56</v>
      </c>
      <c r="X403" s="5">
        <v>64</v>
      </c>
      <c r="Y403" s="5">
        <v>475.9</v>
      </c>
      <c r="Z403" s="5">
        <v>89</v>
      </c>
      <c r="AA403" s="5" t="s">
        <v>68</v>
      </c>
      <c r="AB403" s="5"/>
      <c r="AC403" s="5"/>
      <c r="AD403" s="5"/>
      <c r="AE403" s="5"/>
      <c r="AF403" s="5" t="s">
        <v>68</v>
      </c>
      <c r="AG403" s="5"/>
      <c r="AH403" s="16" t="s">
        <v>48</v>
      </c>
      <c r="AI403" s="16"/>
      <c r="AJ403" s="16"/>
      <c r="AK403" s="16"/>
      <c r="AL403" s="16"/>
      <c r="AM403" s="16"/>
      <c r="AN403" s="16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</row>
    <row r="404" spans="1:240" s="3" customFormat="1" ht="30" customHeight="1">
      <c r="A404" s="5">
        <v>402</v>
      </c>
      <c r="B404" s="5" t="s">
        <v>68</v>
      </c>
      <c r="C404" s="5"/>
      <c r="D404" s="5"/>
      <c r="E404" s="5">
        <v>3000</v>
      </c>
      <c r="F404" s="5">
        <v>2000</v>
      </c>
      <c r="G404" s="5">
        <v>1070</v>
      </c>
      <c r="H404" s="5">
        <v>710</v>
      </c>
      <c r="I404" s="5" t="s">
        <v>13</v>
      </c>
      <c r="J404" s="5">
        <v>16.600000000000001</v>
      </c>
      <c r="K404" s="10">
        <v>5</v>
      </c>
      <c r="L404" s="11">
        <v>97</v>
      </c>
      <c r="M404" s="31">
        <v>5</v>
      </c>
      <c r="N404" s="5" t="s">
        <v>48</v>
      </c>
      <c r="O404" s="5">
        <v>73200</v>
      </c>
      <c r="P404" s="5" t="s">
        <v>48</v>
      </c>
      <c r="Q404" s="5" t="s">
        <v>48</v>
      </c>
      <c r="R404" s="5">
        <v>6</v>
      </c>
      <c r="S404" s="5">
        <v>630</v>
      </c>
      <c r="T404" s="5" t="s">
        <v>48</v>
      </c>
      <c r="U404" s="5" t="s">
        <v>48</v>
      </c>
      <c r="V404" s="5">
        <f t="shared" si="25"/>
        <v>9.6000000000000014</v>
      </c>
      <c r="W404" s="5" t="s">
        <v>56</v>
      </c>
      <c r="X404" s="5">
        <v>65</v>
      </c>
      <c r="Y404" s="5">
        <v>486</v>
      </c>
      <c r="Z404" s="5">
        <v>89</v>
      </c>
      <c r="AA404" s="5" t="s">
        <v>68</v>
      </c>
      <c r="AB404" s="5"/>
      <c r="AC404" s="5"/>
      <c r="AD404" s="5"/>
      <c r="AE404" s="5"/>
      <c r="AF404" s="5" t="s">
        <v>68</v>
      </c>
      <c r="AG404" s="5"/>
      <c r="AH404" s="16" t="s">
        <v>48</v>
      </c>
      <c r="AI404" s="16"/>
      <c r="AJ404" s="16"/>
      <c r="AK404" s="16"/>
      <c r="AL404" s="16"/>
      <c r="AM404" s="16"/>
      <c r="AN404" s="16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</row>
    <row r="405" spans="1:240" s="3" customFormat="1" ht="30" customHeight="1">
      <c r="A405" s="5">
        <v>403</v>
      </c>
      <c r="B405" s="5" t="s">
        <v>68</v>
      </c>
      <c r="C405" s="5"/>
      <c r="D405" s="5"/>
      <c r="E405" s="5">
        <v>3000</v>
      </c>
      <c r="F405" s="5">
        <v>2000</v>
      </c>
      <c r="G405" s="5">
        <v>1070</v>
      </c>
      <c r="H405" s="5">
        <v>800</v>
      </c>
      <c r="I405" s="5" t="s">
        <v>13</v>
      </c>
      <c r="J405" s="5">
        <v>19.2</v>
      </c>
      <c r="K405" s="10">
        <v>5</v>
      </c>
      <c r="L405" s="11">
        <v>112</v>
      </c>
      <c r="M405" s="31">
        <v>5</v>
      </c>
      <c r="N405" s="5" t="s">
        <v>48</v>
      </c>
      <c r="O405" s="5">
        <v>68400</v>
      </c>
      <c r="P405" s="5" t="s">
        <v>48</v>
      </c>
      <c r="Q405" s="5" t="s">
        <v>48</v>
      </c>
      <c r="R405" s="5">
        <v>6</v>
      </c>
      <c r="S405" s="5">
        <v>630</v>
      </c>
      <c r="T405" s="5" t="s">
        <v>48</v>
      </c>
      <c r="U405" s="5" t="s">
        <v>48</v>
      </c>
      <c r="V405" s="5">
        <f t="shared" si="25"/>
        <v>9.6000000000000014</v>
      </c>
      <c r="W405" s="5" t="s">
        <v>56</v>
      </c>
      <c r="X405" s="5">
        <v>65</v>
      </c>
      <c r="Y405" s="5">
        <v>607.5</v>
      </c>
      <c r="Z405" s="5">
        <v>113</v>
      </c>
      <c r="AA405" s="5" t="s">
        <v>68</v>
      </c>
      <c r="AB405" s="5"/>
      <c r="AC405" s="5"/>
      <c r="AD405" s="5"/>
      <c r="AE405" s="5"/>
      <c r="AF405" s="5" t="s">
        <v>68</v>
      </c>
      <c r="AG405" s="5"/>
      <c r="AH405" s="16" t="s">
        <v>48</v>
      </c>
      <c r="AI405" s="16"/>
      <c r="AJ405" s="16"/>
      <c r="AK405" s="16"/>
      <c r="AL405" s="16"/>
      <c r="AM405" s="16"/>
      <c r="AN405" s="16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</row>
    <row r="406" spans="1:240" s="3" customFormat="1" ht="30" customHeight="1">
      <c r="A406" s="5">
        <v>404</v>
      </c>
      <c r="B406" s="5" t="s">
        <v>68</v>
      </c>
      <c r="C406" s="5"/>
      <c r="D406" s="5"/>
      <c r="E406" s="5">
        <v>4000</v>
      </c>
      <c r="F406" s="5">
        <v>2000</v>
      </c>
      <c r="G406" s="5">
        <v>1070</v>
      </c>
      <c r="H406" s="5">
        <v>890</v>
      </c>
      <c r="I406" s="5" t="s">
        <v>13</v>
      </c>
      <c r="J406" s="5">
        <v>20</v>
      </c>
      <c r="K406" s="10">
        <v>5</v>
      </c>
      <c r="L406" s="11">
        <v>116</v>
      </c>
      <c r="M406" s="31">
        <v>5</v>
      </c>
      <c r="N406" s="5" t="s">
        <v>48</v>
      </c>
      <c r="O406" s="5">
        <v>105600</v>
      </c>
      <c r="P406" s="5" t="s">
        <v>48</v>
      </c>
      <c r="Q406" s="5" t="s">
        <v>48</v>
      </c>
      <c r="R406" s="5">
        <v>8</v>
      </c>
      <c r="S406" s="5">
        <v>630</v>
      </c>
      <c r="T406" s="5" t="s">
        <v>48</v>
      </c>
      <c r="U406" s="5" t="s">
        <v>48</v>
      </c>
      <c r="V406" s="5">
        <f t="shared" si="25"/>
        <v>12.8</v>
      </c>
      <c r="W406" s="5" t="s">
        <v>56</v>
      </c>
      <c r="X406" s="5">
        <v>67</v>
      </c>
      <c r="Y406" s="5">
        <v>491.1</v>
      </c>
      <c r="Z406" s="5">
        <v>95</v>
      </c>
      <c r="AA406" s="5" t="s">
        <v>68</v>
      </c>
      <c r="AB406" s="5"/>
      <c r="AC406" s="5"/>
      <c r="AD406" s="5"/>
      <c r="AE406" s="5"/>
      <c r="AF406" s="5" t="s">
        <v>68</v>
      </c>
      <c r="AG406" s="5"/>
      <c r="AH406" s="16" t="s">
        <v>48</v>
      </c>
      <c r="AI406" s="16"/>
      <c r="AJ406" s="16"/>
      <c r="AK406" s="16"/>
      <c r="AL406" s="16"/>
      <c r="AM406" s="16"/>
      <c r="AN406" s="16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</row>
    <row r="407" spans="1:240" s="3" customFormat="1" ht="30" customHeight="1">
      <c r="A407" s="5">
        <v>405</v>
      </c>
      <c r="B407" s="5" t="s">
        <v>68</v>
      </c>
      <c r="C407" s="5"/>
      <c r="D407" s="5"/>
      <c r="E407" s="5">
        <v>4000</v>
      </c>
      <c r="F407" s="5">
        <v>2000</v>
      </c>
      <c r="G407" s="5">
        <v>1070</v>
      </c>
      <c r="H407" s="5">
        <v>970</v>
      </c>
      <c r="I407" s="5" t="s">
        <v>13</v>
      </c>
      <c r="J407" s="5">
        <v>23</v>
      </c>
      <c r="K407" s="10">
        <v>5</v>
      </c>
      <c r="L407" s="11">
        <v>134</v>
      </c>
      <c r="M407" s="31">
        <v>5</v>
      </c>
      <c r="N407" s="5" t="s">
        <v>48</v>
      </c>
      <c r="O407" s="5">
        <v>97600</v>
      </c>
      <c r="P407" s="5" t="s">
        <v>48</v>
      </c>
      <c r="Q407" s="5" t="s">
        <v>48</v>
      </c>
      <c r="R407" s="5">
        <v>8</v>
      </c>
      <c r="S407" s="5">
        <v>630</v>
      </c>
      <c r="T407" s="5" t="s">
        <v>48</v>
      </c>
      <c r="U407" s="5" t="s">
        <v>48</v>
      </c>
      <c r="V407" s="5">
        <f t="shared" si="25"/>
        <v>12.8</v>
      </c>
      <c r="W407" s="5" t="s">
        <v>56</v>
      </c>
      <c r="X407" s="5">
        <v>67</v>
      </c>
      <c r="Y407" s="5">
        <v>654.79999999999995</v>
      </c>
      <c r="Z407" s="5">
        <v>119</v>
      </c>
      <c r="AA407" s="5" t="s">
        <v>68</v>
      </c>
      <c r="AB407" s="5"/>
      <c r="AC407" s="5"/>
      <c r="AD407" s="5"/>
      <c r="AE407" s="5"/>
      <c r="AF407" s="5" t="s">
        <v>68</v>
      </c>
      <c r="AG407" s="5"/>
      <c r="AH407" s="16" t="s">
        <v>48</v>
      </c>
      <c r="AI407" s="16"/>
      <c r="AJ407" s="16"/>
      <c r="AK407" s="16"/>
      <c r="AL407" s="16"/>
      <c r="AM407" s="16"/>
      <c r="AN407" s="16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</row>
    <row r="408" spans="1:240" s="3" customFormat="1" ht="30" customHeight="1">
      <c r="A408" s="5">
        <v>406</v>
      </c>
      <c r="B408" s="5" t="s">
        <v>68</v>
      </c>
      <c r="C408" s="5"/>
      <c r="D408" s="5"/>
      <c r="E408" s="5">
        <v>4000</v>
      </c>
      <c r="F408" s="5">
        <v>2000</v>
      </c>
      <c r="G408" s="5">
        <v>1070</v>
      </c>
      <c r="H408" s="5">
        <v>1060</v>
      </c>
      <c r="I408" s="5" t="s">
        <v>13</v>
      </c>
      <c r="J408" s="5">
        <v>26</v>
      </c>
      <c r="K408" s="10">
        <v>5</v>
      </c>
      <c r="L408" s="11">
        <v>151</v>
      </c>
      <c r="M408" s="31">
        <v>5</v>
      </c>
      <c r="N408" s="5" t="s">
        <v>48</v>
      </c>
      <c r="O408" s="5">
        <v>91200</v>
      </c>
      <c r="P408" s="5" t="s">
        <v>48</v>
      </c>
      <c r="Q408" s="5" t="s">
        <v>48</v>
      </c>
      <c r="R408" s="5">
        <v>8</v>
      </c>
      <c r="S408" s="5">
        <v>630</v>
      </c>
      <c r="T408" s="5" t="s">
        <v>48</v>
      </c>
      <c r="U408" s="5" t="s">
        <v>48</v>
      </c>
      <c r="V408" s="5">
        <f t="shared" si="25"/>
        <v>12.8</v>
      </c>
      <c r="W408" s="5" t="s">
        <v>56</v>
      </c>
      <c r="X408" s="5">
        <v>67</v>
      </c>
      <c r="Y408" s="5">
        <v>818.5</v>
      </c>
      <c r="Z408" s="5">
        <v>159</v>
      </c>
      <c r="AA408" s="5" t="s">
        <v>68</v>
      </c>
      <c r="AB408" s="5"/>
      <c r="AC408" s="5"/>
      <c r="AD408" s="5"/>
      <c r="AE408" s="5"/>
      <c r="AF408" s="5" t="s">
        <v>68</v>
      </c>
      <c r="AG408" s="5"/>
      <c r="AH408" s="16" t="s">
        <v>48</v>
      </c>
      <c r="AI408" s="16"/>
      <c r="AJ408" s="16"/>
      <c r="AK408" s="16"/>
      <c r="AL408" s="16"/>
      <c r="AM408" s="16"/>
      <c r="AN408" s="16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</row>
    <row r="409" spans="1:240" s="3" customFormat="1" ht="30" customHeight="1">
      <c r="A409" s="5">
        <v>407</v>
      </c>
      <c r="B409" s="5" t="s">
        <v>68</v>
      </c>
      <c r="C409" s="5"/>
      <c r="D409" s="5"/>
      <c r="E409" s="5">
        <v>4000</v>
      </c>
      <c r="F409" s="5">
        <v>2000</v>
      </c>
      <c r="G409" s="5">
        <v>1070</v>
      </c>
      <c r="H409" s="5">
        <v>1150</v>
      </c>
      <c r="I409" s="5" t="s">
        <v>13</v>
      </c>
      <c r="J409" s="5">
        <v>31</v>
      </c>
      <c r="K409" s="10">
        <v>5</v>
      </c>
      <c r="L409" s="11">
        <v>180</v>
      </c>
      <c r="M409" s="31">
        <v>5</v>
      </c>
      <c r="N409" s="5" t="s">
        <v>48</v>
      </c>
      <c r="O409" s="5">
        <v>88000</v>
      </c>
      <c r="P409" s="5" t="s">
        <v>48</v>
      </c>
      <c r="Q409" s="5" t="s">
        <v>48</v>
      </c>
      <c r="R409" s="5">
        <v>8</v>
      </c>
      <c r="S409" s="5">
        <v>630</v>
      </c>
      <c r="T409" s="5" t="s">
        <v>48</v>
      </c>
      <c r="U409" s="5" t="s">
        <v>48</v>
      </c>
      <c r="V409" s="5">
        <f t="shared" si="25"/>
        <v>12.8</v>
      </c>
      <c r="W409" s="5" t="s">
        <v>56</v>
      </c>
      <c r="X409" s="5">
        <v>67</v>
      </c>
      <c r="Y409" s="5">
        <v>982.2</v>
      </c>
      <c r="Z409" s="5">
        <v>183</v>
      </c>
      <c r="AA409" s="5" t="s">
        <v>68</v>
      </c>
      <c r="AB409" s="5"/>
      <c r="AC409" s="5"/>
      <c r="AD409" s="5"/>
      <c r="AE409" s="5"/>
      <c r="AF409" s="5" t="s">
        <v>68</v>
      </c>
      <c r="AG409" s="5"/>
      <c r="AH409" s="16" t="s">
        <v>48</v>
      </c>
      <c r="AI409" s="16"/>
      <c r="AJ409" s="16"/>
      <c r="AK409" s="16"/>
      <c r="AL409" s="16"/>
      <c r="AM409" s="16"/>
      <c r="AN409" s="16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</row>
    <row r="410" spans="1:240" s="3" customFormat="1" ht="30" customHeight="1">
      <c r="A410" s="5">
        <v>408</v>
      </c>
      <c r="B410" s="5" t="s">
        <v>68</v>
      </c>
      <c r="C410" s="5"/>
      <c r="D410" s="5"/>
      <c r="E410" s="5">
        <v>2000</v>
      </c>
      <c r="F410" s="5">
        <v>2000</v>
      </c>
      <c r="G410" s="5">
        <v>1010</v>
      </c>
      <c r="H410" s="5">
        <v>690</v>
      </c>
      <c r="I410" s="5" t="s">
        <v>13</v>
      </c>
      <c r="J410" s="5">
        <v>16</v>
      </c>
      <c r="K410" s="10">
        <v>5</v>
      </c>
      <c r="L410" s="11">
        <v>93</v>
      </c>
      <c r="M410" s="31">
        <v>5</v>
      </c>
      <c r="N410" s="5" t="s">
        <v>48</v>
      </c>
      <c r="O410" s="5">
        <v>43000</v>
      </c>
      <c r="P410" s="5" t="s">
        <v>48</v>
      </c>
      <c r="Q410" s="5" t="s">
        <v>48</v>
      </c>
      <c r="R410" s="5">
        <v>4</v>
      </c>
      <c r="S410" s="5">
        <v>710</v>
      </c>
      <c r="T410" s="5" t="s">
        <v>48</v>
      </c>
      <c r="U410" s="5" t="s">
        <v>48</v>
      </c>
      <c r="V410" s="5">
        <f>2.2*R410</f>
        <v>8.8000000000000007</v>
      </c>
      <c r="W410" s="5" t="s">
        <v>56</v>
      </c>
      <c r="X410" s="5">
        <v>68</v>
      </c>
      <c r="Y410" s="5">
        <v>634.5</v>
      </c>
      <c r="Z410" s="5">
        <v>112</v>
      </c>
      <c r="AA410" s="5" t="s">
        <v>68</v>
      </c>
      <c r="AB410" s="5"/>
      <c r="AC410" s="5"/>
      <c r="AD410" s="5"/>
      <c r="AE410" s="5"/>
      <c r="AF410" s="5" t="s">
        <v>68</v>
      </c>
      <c r="AG410" s="5"/>
      <c r="AH410" s="16" t="s">
        <v>48</v>
      </c>
      <c r="AI410" s="16"/>
      <c r="AJ410" s="16"/>
      <c r="AK410" s="16"/>
      <c r="AL410" s="16"/>
      <c r="AM410" s="16"/>
      <c r="AN410" s="16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</row>
    <row r="411" spans="1:240" s="3" customFormat="1" ht="30" customHeight="1">
      <c r="A411" s="5">
        <v>409</v>
      </c>
      <c r="B411" s="5" t="s">
        <v>68</v>
      </c>
      <c r="C411" s="5"/>
      <c r="D411" s="5"/>
      <c r="E411" s="5">
        <v>3000</v>
      </c>
      <c r="F411" s="5">
        <v>2000</v>
      </c>
      <c r="G411" s="5">
        <v>1130</v>
      </c>
      <c r="H411" s="5">
        <v>990</v>
      </c>
      <c r="I411" s="5" t="s">
        <v>13</v>
      </c>
      <c r="J411" s="5">
        <v>24</v>
      </c>
      <c r="K411" s="10">
        <v>5</v>
      </c>
      <c r="L411" s="11">
        <v>140</v>
      </c>
      <c r="M411" s="31">
        <v>5</v>
      </c>
      <c r="N411" s="5" t="s">
        <v>48</v>
      </c>
      <c r="O411" s="5">
        <v>64500</v>
      </c>
      <c r="P411" s="5" t="s">
        <v>48</v>
      </c>
      <c r="Q411" s="5" t="s">
        <v>48</v>
      </c>
      <c r="R411" s="5">
        <v>6</v>
      </c>
      <c r="S411" s="5">
        <v>710</v>
      </c>
      <c r="T411" s="5" t="s">
        <v>48</v>
      </c>
      <c r="U411" s="5" t="s">
        <v>48</v>
      </c>
      <c r="V411" s="5">
        <f>2.2*R411</f>
        <v>13.200000000000001</v>
      </c>
      <c r="W411" s="5" t="s">
        <v>56</v>
      </c>
      <c r="X411" s="5">
        <v>69</v>
      </c>
      <c r="Y411" s="5">
        <v>972</v>
      </c>
      <c r="Z411" s="5">
        <v>167</v>
      </c>
      <c r="AA411" s="5" t="s">
        <v>68</v>
      </c>
      <c r="AB411" s="5"/>
      <c r="AC411" s="5"/>
      <c r="AD411" s="5"/>
      <c r="AE411" s="5"/>
      <c r="AF411" s="5" t="s">
        <v>68</v>
      </c>
      <c r="AG411" s="5"/>
      <c r="AH411" s="16" t="s">
        <v>48</v>
      </c>
      <c r="AI411" s="16"/>
      <c r="AJ411" s="16"/>
      <c r="AK411" s="16"/>
      <c r="AL411" s="16"/>
      <c r="AM411" s="16"/>
      <c r="AN411" s="16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</row>
    <row r="412" spans="1:240" s="3" customFormat="1" ht="30" customHeight="1">
      <c r="A412" s="5">
        <v>410</v>
      </c>
      <c r="B412" s="5" t="s">
        <v>68</v>
      </c>
      <c r="C412" s="5"/>
      <c r="D412" s="5"/>
      <c r="E412" s="5">
        <v>4000</v>
      </c>
      <c r="F412" s="5">
        <v>2000</v>
      </c>
      <c r="G412" s="5">
        <v>1130</v>
      </c>
      <c r="H412" s="5">
        <v>1320</v>
      </c>
      <c r="I412" s="5" t="s">
        <v>13</v>
      </c>
      <c r="J412" s="5">
        <v>31.6</v>
      </c>
      <c r="K412" s="10">
        <v>5</v>
      </c>
      <c r="L412" s="11">
        <v>184</v>
      </c>
      <c r="M412" s="31">
        <v>5</v>
      </c>
      <c r="N412" s="5" t="s">
        <v>48</v>
      </c>
      <c r="O412" s="5">
        <v>86000</v>
      </c>
      <c r="P412" s="5" t="s">
        <v>48</v>
      </c>
      <c r="Q412" s="5" t="s">
        <v>48</v>
      </c>
      <c r="R412" s="5">
        <v>8</v>
      </c>
      <c r="S412" s="5">
        <v>710</v>
      </c>
      <c r="T412" s="5" t="s">
        <v>48</v>
      </c>
      <c r="U412" s="5" t="s">
        <v>48</v>
      </c>
      <c r="V412" s="5">
        <f>2.2*R412</f>
        <v>17.600000000000001</v>
      </c>
      <c r="W412" s="5" t="s">
        <v>56</v>
      </c>
      <c r="X412" s="5">
        <v>71</v>
      </c>
      <c r="Y412" s="5">
        <v>1309.5</v>
      </c>
      <c r="Z412" s="5">
        <v>232</v>
      </c>
      <c r="AA412" s="5" t="s">
        <v>68</v>
      </c>
      <c r="AB412" s="5"/>
      <c r="AC412" s="5"/>
      <c r="AD412" s="5"/>
      <c r="AE412" s="5"/>
      <c r="AF412" s="5" t="s">
        <v>68</v>
      </c>
      <c r="AG412" s="5"/>
      <c r="AH412" s="16" t="s">
        <v>48</v>
      </c>
      <c r="AI412" s="16"/>
      <c r="AJ412" s="16"/>
      <c r="AK412" s="16"/>
      <c r="AL412" s="16"/>
      <c r="AM412" s="16"/>
      <c r="AN412" s="16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</row>
    <row r="413" spans="1:240" s="3" customFormat="1" ht="30" customHeight="1">
      <c r="A413" s="5">
        <v>411</v>
      </c>
      <c r="B413" s="5" t="s">
        <v>68</v>
      </c>
      <c r="C413" s="5"/>
      <c r="D413" s="5"/>
      <c r="E413" s="5">
        <v>1350</v>
      </c>
      <c r="F413" s="5">
        <v>1910</v>
      </c>
      <c r="G413" s="5">
        <v>2065</v>
      </c>
      <c r="H413" s="5">
        <v>500</v>
      </c>
      <c r="I413" s="5" t="s">
        <v>13</v>
      </c>
      <c r="J413" s="5">
        <v>10.3</v>
      </c>
      <c r="K413" s="10">
        <v>5</v>
      </c>
      <c r="L413" s="11">
        <v>82</v>
      </c>
      <c r="M413" s="31">
        <v>10</v>
      </c>
      <c r="N413" s="5">
        <v>24</v>
      </c>
      <c r="O413" s="5">
        <v>26000</v>
      </c>
      <c r="P413" s="5" t="s">
        <v>48</v>
      </c>
      <c r="Q413" s="5">
        <v>1</v>
      </c>
      <c r="R413" s="5">
        <v>1</v>
      </c>
      <c r="S413" s="5">
        <v>910</v>
      </c>
      <c r="T413" s="5" t="s">
        <v>48</v>
      </c>
      <c r="U413" s="5" t="s">
        <v>48</v>
      </c>
      <c r="V413" s="5">
        <v>2.25</v>
      </c>
      <c r="W413" s="5" t="s">
        <v>48</v>
      </c>
      <c r="X413" s="5">
        <v>47</v>
      </c>
      <c r="Y413" s="5" t="s">
        <v>48</v>
      </c>
      <c r="Z413" s="5" t="s">
        <v>48</v>
      </c>
      <c r="AA413" s="5" t="s">
        <v>68</v>
      </c>
      <c r="AB413" s="5"/>
      <c r="AC413" s="5"/>
      <c r="AD413" s="5"/>
      <c r="AE413" s="5"/>
      <c r="AF413" s="5" t="s">
        <v>68</v>
      </c>
      <c r="AG413" s="5"/>
      <c r="AH413" s="16" t="s">
        <v>48</v>
      </c>
      <c r="AI413" s="16"/>
      <c r="AJ413" s="16"/>
      <c r="AK413" s="16"/>
      <c r="AL413" s="16"/>
      <c r="AM413" s="16"/>
      <c r="AN413" s="16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</row>
    <row r="414" spans="1:240" s="3" customFormat="1" ht="30" customHeight="1">
      <c r="A414" s="5">
        <v>412</v>
      </c>
      <c r="B414" s="5" t="s">
        <v>68</v>
      </c>
      <c r="C414" s="5"/>
      <c r="D414" s="5"/>
      <c r="E414" s="5">
        <v>2500</v>
      </c>
      <c r="F414" s="5">
        <v>1910</v>
      </c>
      <c r="G414" s="5">
        <v>2065</v>
      </c>
      <c r="H414" s="5">
        <v>800</v>
      </c>
      <c r="I414" s="5" t="s">
        <v>13</v>
      </c>
      <c r="J414" s="5">
        <v>20.5</v>
      </c>
      <c r="K414" s="10">
        <v>5</v>
      </c>
      <c r="L414" s="11">
        <v>169</v>
      </c>
      <c r="M414" s="31">
        <v>10</v>
      </c>
      <c r="N414" s="5">
        <v>44</v>
      </c>
      <c r="O414" s="5">
        <v>52000</v>
      </c>
      <c r="P414" s="5" t="s">
        <v>48</v>
      </c>
      <c r="Q414" s="5">
        <v>1</v>
      </c>
      <c r="R414" s="5">
        <v>2</v>
      </c>
      <c r="S414" s="5">
        <v>910</v>
      </c>
      <c r="T414" s="5" t="s">
        <v>48</v>
      </c>
      <c r="U414" s="5" t="s">
        <v>48</v>
      </c>
      <c r="V414" s="5">
        <v>4.5</v>
      </c>
      <c r="W414" s="5" t="s">
        <v>48</v>
      </c>
      <c r="X414" s="5">
        <v>56.5</v>
      </c>
      <c r="Y414" s="5" t="s">
        <v>48</v>
      </c>
      <c r="Z414" s="5" t="s">
        <v>48</v>
      </c>
      <c r="AA414" s="5" t="s">
        <v>68</v>
      </c>
      <c r="AB414" s="5"/>
      <c r="AC414" s="5"/>
      <c r="AD414" s="5"/>
      <c r="AE414" s="5"/>
      <c r="AF414" s="5" t="s">
        <v>68</v>
      </c>
      <c r="AG414" s="5"/>
      <c r="AH414" s="16" t="s">
        <v>48</v>
      </c>
      <c r="AI414" s="16"/>
      <c r="AJ414" s="16"/>
      <c r="AK414" s="16"/>
      <c r="AL414" s="16"/>
      <c r="AM414" s="16"/>
      <c r="AN414" s="16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</row>
    <row r="415" spans="1:240" s="3" customFormat="1" ht="30" customHeight="1">
      <c r="A415" s="5">
        <v>413</v>
      </c>
      <c r="B415" s="5" t="s">
        <v>68</v>
      </c>
      <c r="C415" s="5"/>
      <c r="D415" s="5"/>
      <c r="E415" s="5">
        <v>3650</v>
      </c>
      <c r="F415" s="5">
        <v>1910</v>
      </c>
      <c r="G415" s="5">
        <v>2065</v>
      </c>
      <c r="H415" s="5">
        <v>1200</v>
      </c>
      <c r="I415" s="5" t="s">
        <v>13</v>
      </c>
      <c r="J415" s="5">
        <v>34.6</v>
      </c>
      <c r="K415" s="10">
        <v>5</v>
      </c>
      <c r="L415" s="11">
        <v>282</v>
      </c>
      <c r="M415" s="31">
        <v>10</v>
      </c>
      <c r="N415" s="5">
        <v>32</v>
      </c>
      <c r="O415" s="5">
        <v>76000</v>
      </c>
      <c r="P415" s="5" t="s">
        <v>48</v>
      </c>
      <c r="Q415" s="5">
        <v>1</v>
      </c>
      <c r="R415" s="5">
        <v>3</v>
      </c>
      <c r="S415" s="5">
        <v>910</v>
      </c>
      <c r="T415" s="5" t="s">
        <v>48</v>
      </c>
      <c r="U415" s="5" t="s">
        <v>48</v>
      </c>
      <c r="V415" s="5">
        <v>6.75</v>
      </c>
      <c r="W415" s="5" t="s">
        <v>48</v>
      </c>
      <c r="X415" s="5">
        <v>52</v>
      </c>
      <c r="Y415" s="5" t="s">
        <v>48</v>
      </c>
      <c r="Z415" s="5" t="s">
        <v>48</v>
      </c>
      <c r="AA415" s="5" t="s">
        <v>68</v>
      </c>
      <c r="AB415" s="5"/>
      <c r="AC415" s="5"/>
      <c r="AD415" s="5"/>
      <c r="AE415" s="5"/>
      <c r="AF415" s="5" t="s">
        <v>68</v>
      </c>
      <c r="AG415" s="5"/>
      <c r="AH415" s="16" t="s">
        <v>48</v>
      </c>
      <c r="AI415" s="16"/>
      <c r="AJ415" s="16"/>
      <c r="AK415" s="16"/>
      <c r="AL415" s="16"/>
      <c r="AM415" s="16"/>
      <c r="AN415" s="16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</row>
    <row r="416" spans="1:240" s="3" customFormat="1" ht="30" customHeight="1">
      <c r="A416" s="5">
        <v>414</v>
      </c>
      <c r="B416" s="5" t="s">
        <v>68</v>
      </c>
      <c r="C416" s="5"/>
      <c r="D416" s="5"/>
      <c r="E416" s="5">
        <v>1350</v>
      </c>
      <c r="F416" s="5">
        <v>1600</v>
      </c>
      <c r="G416" s="5">
        <v>2065</v>
      </c>
      <c r="H416" s="5">
        <v>450</v>
      </c>
      <c r="I416" s="5" t="s">
        <v>13</v>
      </c>
      <c r="J416" s="5">
        <v>10.8</v>
      </c>
      <c r="K416" s="10">
        <v>5</v>
      </c>
      <c r="L416" s="11">
        <v>63</v>
      </c>
      <c r="M416" s="31">
        <v>10</v>
      </c>
      <c r="N416" s="5">
        <v>26</v>
      </c>
      <c r="O416" s="5">
        <v>27500</v>
      </c>
      <c r="P416" s="5" t="s">
        <v>48</v>
      </c>
      <c r="Q416" s="5">
        <v>1</v>
      </c>
      <c r="R416" s="5">
        <v>1</v>
      </c>
      <c r="S416" s="5">
        <v>910</v>
      </c>
      <c r="T416" s="5" t="s">
        <v>48</v>
      </c>
      <c r="U416" s="5" t="s">
        <v>48</v>
      </c>
      <c r="V416" s="5">
        <v>2.25</v>
      </c>
      <c r="W416" s="5" t="s">
        <v>48</v>
      </c>
      <c r="X416" s="5">
        <v>47</v>
      </c>
      <c r="Y416" s="5" t="s">
        <v>48</v>
      </c>
      <c r="Z416" s="5" t="s">
        <v>48</v>
      </c>
      <c r="AA416" s="5" t="s">
        <v>68</v>
      </c>
      <c r="AB416" s="5"/>
      <c r="AC416" s="5"/>
      <c r="AD416" s="5"/>
      <c r="AE416" s="5"/>
      <c r="AF416" s="5" t="s">
        <v>68</v>
      </c>
      <c r="AG416" s="5"/>
      <c r="AH416" s="16" t="s">
        <v>48</v>
      </c>
      <c r="AI416" s="16"/>
      <c r="AJ416" s="16"/>
      <c r="AK416" s="16"/>
      <c r="AL416" s="16"/>
      <c r="AM416" s="16"/>
      <c r="AN416" s="16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</row>
    <row r="417" spans="1:240" s="3" customFormat="1" ht="30" customHeight="1">
      <c r="A417" s="5">
        <v>415</v>
      </c>
      <c r="B417" s="5" t="s">
        <v>68</v>
      </c>
      <c r="C417" s="5"/>
      <c r="D417" s="5"/>
      <c r="E417" s="5">
        <v>570</v>
      </c>
      <c r="F417" s="5" t="s">
        <v>48</v>
      </c>
      <c r="G417" s="5">
        <v>620</v>
      </c>
      <c r="H417" s="5">
        <v>24</v>
      </c>
      <c r="I417" s="5" t="s">
        <v>13</v>
      </c>
      <c r="J417" s="5" t="s">
        <v>48</v>
      </c>
      <c r="K417" s="5" t="s">
        <v>48</v>
      </c>
      <c r="L417" s="11">
        <v>6.6</v>
      </c>
      <c r="M417" s="5" t="s">
        <v>48</v>
      </c>
      <c r="N417" s="5" t="s">
        <v>48</v>
      </c>
      <c r="O417" s="5">
        <v>2628</v>
      </c>
      <c r="P417" s="5" t="s">
        <v>48</v>
      </c>
      <c r="Q417" s="5">
        <v>1</v>
      </c>
      <c r="R417" s="5">
        <v>1</v>
      </c>
      <c r="S417" s="5" t="s">
        <v>48</v>
      </c>
      <c r="T417" s="5" t="s">
        <v>48</v>
      </c>
      <c r="U417" s="5"/>
      <c r="V417" s="5">
        <v>0.15</v>
      </c>
      <c r="W417" s="5" t="s">
        <v>48</v>
      </c>
      <c r="X417" s="5">
        <v>39</v>
      </c>
      <c r="Y417" s="5" t="s">
        <v>48</v>
      </c>
      <c r="Z417" s="5" t="s">
        <v>48</v>
      </c>
      <c r="AA417" s="5" t="s">
        <v>68</v>
      </c>
      <c r="AB417" s="5"/>
      <c r="AC417" s="5"/>
      <c r="AD417" s="5"/>
      <c r="AE417" s="5"/>
      <c r="AF417" s="5" t="s">
        <v>68</v>
      </c>
      <c r="AG417" s="5"/>
      <c r="AH417" s="16" t="s">
        <v>48</v>
      </c>
      <c r="AI417" s="16"/>
      <c r="AJ417" s="16"/>
      <c r="AK417" s="16"/>
      <c r="AL417" s="16"/>
      <c r="AM417" s="16"/>
      <c r="AN417" s="16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</row>
    <row r="418" spans="1:240" s="3" customFormat="1" ht="30" customHeight="1">
      <c r="A418" s="5">
        <v>416</v>
      </c>
      <c r="B418" s="5" t="s">
        <v>68</v>
      </c>
      <c r="C418" s="5"/>
      <c r="D418" s="5"/>
      <c r="E418" s="5">
        <v>1120</v>
      </c>
      <c r="F418" s="5">
        <v>100</v>
      </c>
      <c r="G418" s="5">
        <v>1170</v>
      </c>
      <c r="H418" s="5">
        <v>39</v>
      </c>
      <c r="I418" s="5" t="s">
        <v>13</v>
      </c>
      <c r="J418" s="5" t="s">
        <v>48</v>
      </c>
      <c r="K418" s="5" t="s">
        <v>48</v>
      </c>
      <c r="L418" s="11">
        <v>13.2</v>
      </c>
      <c r="M418" s="5" t="s">
        <v>48</v>
      </c>
      <c r="N418" s="5" t="s">
        <v>48</v>
      </c>
      <c r="O418" s="5">
        <v>5220</v>
      </c>
      <c r="P418" s="5" t="s">
        <v>48</v>
      </c>
      <c r="Q418" s="5">
        <v>1</v>
      </c>
      <c r="R418" s="5">
        <v>2</v>
      </c>
      <c r="S418" s="5" t="s">
        <v>48</v>
      </c>
      <c r="T418" s="5" t="s">
        <v>48</v>
      </c>
      <c r="U418" s="5"/>
      <c r="V418" s="5">
        <v>0.3</v>
      </c>
      <c r="W418" s="5" t="s">
        <v>48</v>
      </c>
      <c r="X418" s="5">
        <v>42</v>
      </c>
      <c r="Y418" s="5" t="s">
        <v>48</v>
      </c>
      <c r="Z418" s="5" t="s">
        <v>48</v>
      </c>
      <c r="AA418" s="5" t="s">
        <v>68</v>
      </c>
      <c r="AB418" s="5"/>
      <c r="AC418" s="5"/>
      <c r="AD418" s="5"/>
      <c r="AE418" s="5"/>
      <c r="AF418" s="5" t="s">
        <v>68</v>
      </c>
      <c r="AG418" s="5"/>
      <c r="AH418" s="16" t="s">
        <v>48</v>
      </c>
      <c r="AI418" s="16"/>
      <c r="AJ418" s="16"/>
      <c r="AK418" s="16"/>
      <c r="AL418" s="16"/>
      <c r="AM418" s="16"/>
      <c r="AN418" s="16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</row>
    <row r="419" spans="1:240" s="3" customFormat="1" ht="30" customHeight="1">
      <c r="A419" s="5">
        <v>417</v>
      </c>
      <c r="B419" s="5" t="s">
        <v>68</v>
      </c>
      <c r="C419" s="5"/>
      <c r="D419" s="5"/>
      <c r="E419" s="5">
        <v>1670</v>
      </c>
      <c r="F419" s="5">
        <v>650</v>
      </c>
      <c r="G419" s="5">
        <v>1720</v>
      </c>
      <c r="H419" s="5">
        <v>64</v>
      </c>
      <c r="I419" s="5" t="s">
        <v>13</v>
      </c>
      <c r="J419" s="5" t="s">
        <v>48</v>
      </c>
      <c r="K419" s="5" t="s">
        <v>48</v>
      </c>
      <c r="L419" s="11">
        <v>26.2</v>
      </c>
      <c r="M419" s="5" t="s">
        <v>48</v>
      </c>
      <c r="N419" s="5" t="s">
        <v>48</v>
      </c>
      <c r="O419" s="17">
        <v>6768</v>
      </c>
      <c r="P419" s="5" t="s">
        <v>48</v>
      </c>
      <c r="Q419" s="5">
        <v>1</v>
      </c>
      <c r="R419" s="5">
        <v>3</v>
      </c>
      <c r="S419" s="5" t="s">
        <v>48</v>
      </c>
      <c r="T419" s="5" t="s">
        <v>48</v>
      </c>
      <c r="U419" s="5"/>
      <c r="V419" s="5">
        <v>0.45</v>
      </c>
      <c r="W419" s="5" t="s">
        <v>48</v>
      </c>
      <c r="X419" s="5">
        <v>44</v>
      </c>
      <c r="Y419" s="5" t="s">
        <v>48</v>
      </c>
      <c r="Z419" s="5" t="s">
        <v>48</v>
      </c>
      <c r="AA419" s="5" t="s">
        <v>68</v>
      </c>
      <c r="AB419" s="5"/>
      <c r="AC419" s="5"/>
      <c r="AD419" s="5"/>
      <c r="AE419" s="5"/>
      <c r="AF419" s="5" t="s">
        <v>68</v>
      </c>
      <c r="AG419" s="5"/>
      <c r="AH419" s="16" t="s">
        <v>48</v>
      </c>
      <c r="AI419" s="16"/>
      <c r="AJ419" s="16"/>
      <c r="AK419" s="16"/>
      <c r="AL419" s="16"/>
      <c r="AM419" s="16"/>
      <c r="AN419" s="16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</row>
    <row r="420" spans="1:240" s="3" customFormat="1" ht="30" customHeight="1">
      <c r="A420" s="5">
        <v>418</v>
      </c>
      <c r="B420" s="5" t="s">
        <v>68</v>
      </c>
      <c r="C420" s="5"/>
      <c r="D420" s="5"/>
      <c r="E420" s="5">
        <v>893</v>
      </c>
      <c r="F420" s="5">
        <v>898</v>
      </c>
      <c r="G420" s="5">
        <v>997</v>
      </c>
      <c r="H420" s="5">
        <v>85</v>
      </c>
      <c r="I420" s="5" t="s">
        <v>14</v>
      </c>
      <c r="J420" s="5" t="s">
        <v>48</v>
      </c>
      <c r="K420" s="5" t="s">
        <v>48</v>
      </c>
      <c r="L420" s="11">
        <v>16.3</v>
      </c>
      <c r="M420" s="5" t="s">
        <v>48</v>
      </c>
      <c r="N420" s="5" t="s">
        <v>48</v>
      </c>
      <c r="O420" s="5">
        <v>6840</v>
      </c>
      <c r="P420" s="5" t="s">
        <v>48</v>
      </c>
      <c r="Q420" s="5" t="s">
        <v>48</v>
      </c>
      <c r="R420" s="5">
        <v>1</v>
      </c>
      <c r="S420" s="5">
        <v>500</v>
      </c>
      <c r="T420" s="5" t="s">
        <v>48</v>
      </c>
      <c r="U420" s="5">
        <v>1225</v>
      </c>
      <c r="V420" s="5">
        <v>0.54</v>
      </c>
      <c r="W420" s="5" t="s">
        <v>15</v>
      </c>
      <c r="X420" s="5">
        <v>45</v>
      </c>
      <c r="Y420" s="5" t="s">
        <v>48</v>
      </c>
      <c r="Z420" s="5" t="s">
        <v>48</v>
      </c>
      <c r="AA420" s="5" t="s">
        <v>68</v>
      </c>
      <c r="AB420" s="5"/>
      <c r="AC420" s="5"/>
      <c r="AD420" s="5"/>
      <c r="AE420" s="5"/>
      <c r="AF420" s="5" t="s">
        <v>68</v>
      </c>
      <c r="AG420" s="5"/>
      <c r="AH420" s="16" t="s">
        <v>48</v>
      </c>
      <c r="AI420" s="16"/>
      <c r="AJ420" s="16"/>
      <c r="AK420" s="16"/>
      <c r="AL420" s="16"/>
      <c r="AM420" s="16"/>
      <c r="AN420" s="16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</row>
    <row r="421" spans="1:240" s="3" customFormat="1" ht="30" customHeight="1">
      <c r="A421" s="5">
        <v>419</v>
      </c>
      <c r="B421" s="5" t="s">
        <v>68</v>
      </c>
      <c r="C421" s="5"/>
      <c r="D421" s="5"/>
      <c r="E421" s="5">
        <v>5144</v>
      </c>
      <c r="F421" s="5">
        <v>898</v>
      </c>
      <c r="G421" s="5">
        <v>997</v>
      </c>
      <c r="H421" s="5">
        <v>515</v>
      </c>
      <c r="I421" s="5" t="s">
        <v>14</v>
      </c>
      <c r="J421" s="5" t="s">
        <v>48</v>
      </c>
      <c r="K421" s="5" t="s">
        <v>48</v>
      </c>
      <c r="L421" s="11">
        <v>115.2</v>
      </c>
      <c r="M421" s="5" t="s">
        <v>48</v>
      </c>
      <c r="N421" s="5" t="s">
        <v>48</v>
      </c>
      <c r="O421" s="5">
        <v>27792</v>
      </c>
      <c r="P421" s="5" t="s">
        <v>48</v>
      </c>
      <c r="Q421" s="5" t="s">
        <v>48</v>
      </c>
      <c r="R421" s="5">
        <v>4</v>
      </c>
      <c r="S421" s="5">
        <v>500</v>
      </c>
      <c r="T421" s="5" t="s">
        <v>48</v>
      </c>
      <c r="U421" s="5">
        <v>1225</v>
      </c>
      <c r="V421" s="5">
        <v>2.16</v>
      </c>
      <c r="W421" s="5" t="s">
        <v>15</v>
      </c>
      <c r="X421" s="5">
        <v>51</v>
      </c>
      <c r="Y421" s="5" t="s">
        <v>48</v>
      </c>
      <c r="Z421" s="5" t="s">
        <v>48</v>
      </c>
      <c r="AA421" s="5" t="s">
        <v>68</v>
      </c>
      <c r="AB421" s="5"/>
      <c r="AC421" s="5"/>
      <c r="AD421" s="5"/>
      <c r="AE421" s="5"/>
      <c r="AF421" s="5" t="s">
        <v>68</v>
      </c>
      <c r="AG421" s="5"/>
      <c r="AH421" s="16" t="s">
        <v>48</v>
      </c>
      <c r="AI421" s="16"/>
      <c r="AJ421" s="16"/>
      <c r="AK421" s="16"/>
      <c r="AL421" s="16"/>
      <c r="AM421" s="16"/>
      <c r="AN421" s="16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</row>
    <row r="422" spans="1:240" s="3" customFormat="1" ht="30" customHeight="1">
      <c r="A422" s="5">
        <v>420</v>
      </c>
      <c r="B422" s="5" t="s">
        <v>68</v>
      </c>
      <c r="C422" s="5"/>
      <c r="D422" s="5"/>
      <c r="E422" s="5">
        <v>1534</v>
      </c>
      <c r="F422" s="5">
        <v>898</v>
      </c>
      <c r="G422" s="5">
        <v>1008</v>
      </c>
      <c r="H422" s="5">
        <v>113</v>
      </c>
      <c r="I422" s="5" t="s">
        <v>14</v>
      </c>
      <c r="J422" s="5" t="s">
        <v>48</v>
      </c>
      <c r="K422" s="5" t="s">
        <v>48</v>
      </c>
      <c r="L422" s="11">
        <v>28.2</v>
      </c>
      <c r="M422" s="5" t="s">
        <v>48</v>
      </c>
      <c r="N422" s="5" t="s">
        <v>48</v>
      </c>
      <c r="O422" s="5">
        <v>13536</v>
      </c>
      <c r="P422" s="5" t="s">
        <v>48</v>
      </c>
      <c r="Q422" s="5" t="s">
        <v>48</v>
      </c>
      <c r="R422" s="5">
        <v>1</v>
      </c>
      <c r="S422" s="5">
        <v>630</v>
      </c>
      <c r="T422" s="5" t="s">
        <v>48</v>
      </c>
      <c r="U422" s="5">
        <v>1330</v>
      </c>
      <c r="V422" s="5">
        <v>2.5</v>
      </c>
      <c r="W422" s="5" t="s">
        <v>16</v>
      </c>
      <c r="X422" s="5">
        <v>61</v>
      </c>
      <c r="Y422" s="5" t="s">
        <v>48</v>
      </c>
      <c r="Z422" s="5" t="s">
        <v>48</v>
      </c>
      <c r="AA422" s="5" t="s">
        <v>68</v>
      </c>
      <c r="AB422" s="5"/>
      <c r="AC422" s="5"/>
      <c r="AD422" s="5"/>
      <c r="AE422" s="5"/>
      <c r="AF422" s="5" t="s">
        <v>68</v>
      </c>
      <c r="AG422" s="5"/>
      <c r="AH422" s="16" t="s">
        <v>48</v>
      </c>
      <c r="AI422" s="16"/>
      <c r="AJ422" s="16"/>
      <c r="AK422" s="16"/>
      <c r="AL422" s="16"/>
      <c r="AM422" s="16"/>
      <c r="AN422" s="16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</row>
    <row r="423" spans="1:240" s="3" customFormat="1" ht="30" customHeight="1">
      <c r="A423" s="5">
        <v>421</v>
      </c>
      <c r="B423" s="5" t="s">
        <v>68</v>
      </c>
      <c r="C423" s="5"/>
      <c r="D423" s="5"/>
      <c r="E423" s="5">
        <v>2400</v>
      </c>
      <c r="F423" s="5">
        <v>2200</v>
      </c>
      <c r="G423" s="5">
        <v>2220</v>
      </c>
      <c r="H423" s="5">
        <v>770</v>
      </c>
      <c r="I423" s="5" t="s">
        <v>17</v>
      </c>
      <c r="J423" s="5">
        <v>43</v>
      </c>
      <c r="K423" s="10">
        <v>5</v>
      </c>
      <c r="L423" s="11">
        <v>222</v>
      </c>
      <c r="M423" s="31">
        <v>10</v>
      </c>
      <c r="N423" s="5">
        <v>60</v>
      </c>
      <c r="O423" s="5">
        <v>82400</v>
      </c>
      <c r="P423" s="5" t="s">
        <v>48</v>
      </c>
      <c r="Q423" s="5">
        <v>2</v>
      </c>
      <c r="R423" s="5">
        <v>2</v>
      </c>
      <c r="S423" s="5">
        <v>800</v>
      </c>
      <c r="T423" s="5">
        <v>690</v>
      </c>
      <c r="U423" s="5">
        <v>890</v>
      </c>
      <c r="V423" s="5">
        <v>6.8</v>
      </c>
      <c r="W423" s="5" t="s">
        <v>10</v>
      </c>
      <c r="X423" s="5">
        <v>54</v>
      </c>
      <c r="Y423" s="5">
        <v>661</v>
      </c>
      <c r="Z423" s="5" t="s">
        <v>48</v>
      </c>
      <c r="AA423" s="5" t="s">
        <v>68</v>
      </c>
      <c r="AB423" s="5"/>
      <c r="AC423" s="5"/>
      <c r="AD423" s="5"/>
      <c r="AE423" s="5"/>
      <c r="AF423" s="5" t="s">
        <v>68</v>
      </c>
      <c r="AG423" s="5"/>
      <c r="AH423" s="16">
        <v>17290</v>
      </c>
      <c r="AI423" s="16"/>
      <c r="AJ423" s="16"/>
      <c r="AK423" s="16"/>
      <c r="AL423" s="16"/>
      <c r="AM423" s="16">
        <f>AH423</f>
        <v>17290</v>
      </c>
      <c r="AN423" s="16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</row>
    <row r="424" spans="1:240" s="3" customFormat="1" ht="30" customHeight="1">
      <c r="A424" s="5">
        <v>422</v>
      </c>
      <c r="B424" s="5" t="s">
        <v>68</v>
      </c>
      <c r="C424" s="5"/>
      <c r="D424" s="5"/>
      <c r="E424" s="5">
        <v>6000</v>
      </c>
      <c r="F424" s="5">
        <v>2200</v>
      </c>
      <c r="G424" s="5">
        <v>2220</v>
      </c>
      <c r="H424" s="5">
        <v>1850</v>
      </c>
      <c r="I424" s="5" t="s">
        <v>17</v>
      </c>
      <c r="J424" s="5">
        <v>106</v>
      </c>
      <c r="K424" s="10">
        <v>5</v>
      </c>
      <c r="L424" s="11">
        <v>550</v>
      </c>
      <c r="M424" s="31">
        <v>10</v>
      </c>
      <c r="N424" s="5">
        <v>60</v>
      </c>
      <c r="O424" s="5">
        <v>206000</v>
      </c>
      <c r="P424" s="5" t="s">
        <v>48</v>
      </c>
      <c r="Q424" s="5">
        <v>2</v>
      </c>
      <c r="R424" s="5">
        <v>5</v>
      </c>
      <c r="S424" s="5">
        <v>800</v>
      </c>
      <c r="T424" s="5">
        <v>690</v>
      </c>
      <c r="U424" s="5">
        <v>890</v>
      </c>
      <c r="V424" s="5">
        <v>17</v>
      </c>
      <c r="W424" s="5" t="s">
        <v>10</v>
      </c>
      <c r="X424" s="5">
        <v>58</v>
      </c>
      <c r="Y424" s="5">
        <v>1673</v>
      </c>
      <c r="Z424" s="5" t="s">
        <v>48</v>
      </c>
      <c r="AA424" s="5" t="s">
        <v>68</v>
      </c>
      <c r="AB424" s="5"/>
      <c r="AC424" s="5"/>
      <c r="AD424" s="5"/>
      <c r="AE424" s="5"/>
      <c r="AF424" s="5" t="s">
        <v>68</v>
      </c>
      <c r="AG424" s="5"/>
      <c r="AH424" s="16">
        <v>38533</v>
      </c>
      <c r="AI424" s="16"/>
      <c r="AJ424" s="16"/>
      <c r="AK424" s="16"/>
      <c r="AL424" s="16"/>
      <c r="AM424" s="16">
        <f>AH424</f>
        <v>38533</v>
      </c>
      <c r="AN424" s="16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</row>
    <row r="425" spans="1:240" s="3" customFormat="1" ht="30" customHeight="1">
      <c r="A425" s="5">
        <v>423</v>
      </c>
      <c r="B425" s="5" t="s">
        <v>68</v>
      </c>
      <c r="C425" s="5"/>
      <c r="D425" s="5"/>
      <c r="E425" s="5">
        <v>9600</v>
      </c>
      <c r="F425" s="5">
        <v>2200</v>
      </c>
      <c r="G425" s="5">
        <v>2220</v>
      </c>
      <c r="H425" s="5">
        <v>3470</v>
      </c>
      <c r="I425" s="5" t="s">
        <v>17</v>
      </c>
      <c r="J425" s="5">
        <v>178</v>
      </c>
      <c r="K425" s="10">
        <v>5</v>
      </c>
      <c r="L425" s="11">
        <v>1087</v>
      </c>
      <c r="M425" s="31">
        <v>10</v>
      </c>
      <c r="N425" s="5">
        <v>220</v>
      </c>
      <c r="O425" s="5">
        <v>329600</v>
      </c>
      <c r="P425" s="5" t="s">
        <v>48</v>
      </c>
      <c r="Q425" s="5">
        <v>2</v>
      </c>
      <c r="R425" s="5">
        <v>8</v>
      </c>
      <c r="S425" s="5">
        <v>800</v>
      </c>
      <c r="T425" s="5">
        <v>690</v>
      </c>
      <c r="U425" s="5">
        <v>890</v>
      </c>
      <c r="V425" s="5">
        <v>27.2</v>
      </c>
      <c r="W425" s="5" t="s">
        <v>10</v>
      </c>
      <c r="X425" s="5">
        <v>59</v>
      </c>
      <c r="Y425" s="5">
        <v>4027</v>
      </c>
      <c r="Z425" s="5" t="s">
        <v>48</v>
      </c>
      <c r="AA425" s="5" t="s">
        <v>68</v>
      </c>
      <c r="AB425" s="5"/>
      <c r="AC425" s="5"/>
      <c r="AD425" s="5"/>
      <c r="AE425" s="5"/>
      <c r="AF425" s="5" t="s">
        <v>68</v>
      </c>
      <c r="AG425" s="5"/>
      <c r="AH425" s="16">
        <v>77440</v>
      </c>
      <c r="AI425" s="16"/>
      <c r="AJ425" s="16"/>
      <c r="AK425" s="16"/>
      <c r="AL425" s="16"/>
      <c r="AM425" s="16">
        <f>AH425</f>
        <v>77440</v>
      </c>
      <c r="AN425" s="16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</row>
    <row r="426" spans="1:240" s="3" customFormat="1" ht="30" customHeight="1">
      <c r="A426" s="5">
        <v>424</v>
      </c>
      <c r="B426" s="5" t="s">
        <v>68</v>
      </c>
      <c r="C426" s="5"/>
      <c r="D426" s="5"/>
      <c r="E426" s="5">
        <v>925</v>
      </c>
      <c r="F426" s="5">
        <v>895</v>
      </c>
      <c r="G426" s="5">
        <v>950</v>
      </c>
      <c r="H426" s="5">
        <v>96</v>
      </c>
      <c r="I426" s="5" t="s">
        <v>17</v>
      </c>
      <c r="J426" s="5">
        <v>4</v>
      </c>
      <c r="K426" s="10">
        <v>5</v>
      </c>
      <c r="L426" s="11">
        <v>24.3</v>
      </c>
      <c r="M426" s="31">
        <v>10</v>
      </c>
      <c r="N426" s="5">
        <v>100</v>
      </c>
      <c r="O426" s="5">
        <v>7110</v>
      </c>
      <c r="P426" s="5" t="s">
        <v>48</v>
      </c>
      <c r="Q426" s="5">
        <v>2</v>
      </c>
      <c r="R426" s="5" t="s">
        <v>48</v>
      </c>
      <c r="S426" s="5">
        <v>500</v>
      </c>
      <c r="T426" s="5" t="s">
        <v>48</v>
      </c>
      <c r="U426" s="5">
        <v>1250</v>
      </c>
      <c r="V426" s="5">
        <v>0.7</v>
      </c>
      <c r="W426" s="5" t="s">
        <v>18</v>
      </c>
      <c r="X426" s="5">
        <v>49</v>
      </c>
      <c r="Y426" s="5">
        <v>82</v>
      </c>
      <c r="Z426" s="5" t="s">
        <v>48</v>
      </c>
      <c r="AA426" s="5" t="s">
        <v>68</v>
      </c>
      <c r="AB426" s="5"/>
      <c r="AC426" s="5"/>
      <c r="AD426" s="5"/>
      <c r="AE426" s="5"/>
      <c r="AF426" s="5" t="s">
        <v>68</v>
      </c>
      <c r="AG426" s="5"/>
      <c r="AH426" s="16" t="s">
        <v>48</v>
      </c>
      <c r="AI426" s="16"/>
      <c r="AJ426" s="16"/>
      <c r="AK426" s="16"/>
      <c r="AL426" s="16"/>
      <c r="AM426" s="16"/>
      <c r="AN426" s="16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</row>
    <row r="427" spans="1:240" s="3" customFormat="1" ht="30" customHeight="1">
      <c r="A427" s="5">
        <v>425</v>
      </c>
      <c r="B427" s="5" t="s">
        <v>68</v>
      </c>
      <c r="C427" s="5"/>
      <c r="D427" s="5"/>
      <c r="E427" s="5">
        <v>2775</v>
      </c>
      <c r="F427" s="5">
        <v>895</v>
      </c>
      <c r="G427" s="5">
        <v>950</v>
      </c>
      <c r="H427" s="5">
        <v>250</v>
      </c>
      <c r="I427" s="5" t="s">
        <v>17</v>
      </c>
      <c r="J427" s="5">
        <v>12.5</v>
      </c>
      <c r="K427" s="10">
        <v>5</v>
      </c>
      <c r="L427" s="11">
        <v>74.099999999999994</v>
      </c>
      <c r="M427" s="31">
        <v>10</v>
      </c>
      <c r="N427" s="5">
        <v>90</v>
      </c>
      <c r="O427" s="5">
        <v>21700</v>
      </c>
      <c r="P427" s="5" t="s">
        <v>48</v>
      </c>
      <c r="Q427" s="5"/>
      <c r="R427" s="5" t="s">
        <v>48</v>
      </c>
      <c r="S427" s="5">
        <v>500</v>
      </c>
      <c r="T427" s="5" t="s">
        <v>48</v>
      </c>
      <c r="U427" s="5">
        <v>1250</v>
      </c>
      <c r="V427" s="5">
        <v>2.2000000000000002</v>
      </c>
      <c r="W427" s="5" t="s">
        <v>18</v>
      </c>
      <c r="X427" s="5">
        <v>53</v>
      </c>
      <c r="Y427" s="5">
        <v>255</v>
      </c>
      <c r="Z427" s="5" t="s">
        <v>48</v>
      </c>
      <c r="AA427" s="5" t="s">
        <v>68</v>
      </c>
      <c r="AB427" s="5"/>
      <c r="AC427" s="5"/>
      <c r="AD427" s="5"/>
      <c r="AE427" s="5"/>
      <c r="AF427" s="5" t="s">
        <v>68</v>
      </c>
      <c r="AG427" s="5"/>
      <c r="AH427" s="16" t="s">
        <v>48</v>
      </c>
      <c r="AI427" s="16"/>
      <c r="AJ427" s="16"/>
      <c r="AK427" s="16"/>
      <c r="AL427" s="16"/>
      <c r="AM427" s="16"/>
      <c r="AN427" s="16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</row>
    <row r="428" spans="1:240" s="3" customFormat="1" ht="30" customHeight="1">
      <c r="A428" s="5">
        <v>426</v>
      </c>
      <c r="B428" s="5" t="s">
        <v>68</v>
      </c>
      <c r="C428" s="5"/>
      <c r="D428" s="5"/>
      <c r="E428" s="5">
        <v>925</v>
      </c>
      <c r="F428" s="5">
        <v>1145</v>
      </c>
      <c r="G428" s="5">
        <v>950</v>
      </c>
      <c r="H428" s="5">
        <v>105</v>
      </c>
      <c r="I428" s="5" t="s">
        <v>17</v>
      </c>
      <c r="J428" s="5">
        <v>6.5</v>
      </c>
      <c r="K428" s="10">
        <v>5</v>
      </c>
      <c r="L428" s="11">
        <v>37.9</v>
      </c>
      <c r="M428" s="31">
        <v>10</v>
      </c>
      <c r="N428" s="5">
        <v>70</v>
      </c>
      <c r="O428" s="5">
        <v>12700</v>
      </c>
      <c r="P428" s="5" t="s">
        <v>48</v>
      </c>
      <c r="Q428" s="5"/>
      <c r="R428" s="5" t="s">
        <v>48</v>
      </c>
      <c r="S428" s="5">
        <v>650</v>
      </c>
      <c r="T428" s="5" t="s">
        <v>48</v>
      </c>
      <c r="U428" s="5">
        <v>1340</v>
      </c>
      <c r="V428" s="5">
        <v>2</v>
      </c>
      <c r="W428" s="5" t="s">
        <v>10</v>
      </c>
      <c r="X428" s="5">
        <v>59</v>
      </c>
      <c r="Y428" s="5">
        <v>108</v>
      </c>
      <c r="Z428" s="5" t="s">
        <v>48</v>
      </c>
      <c r="AA428" s="5" t="s">
        <v>68</v>
      </c>
      <c r="AB428" s="5"/>
      <c r="AC428" s="5"/>
      <c r="AD428" s="5"/>
      <c r="AE428" s="5"/>
      <c r="AF428" s="5" t="s">
        <v>68</v>
      </c>
      <c r="AG428" s="5"/>
      <c r="AH428" s="16" t="s">
        <v>48</v>
      </c>
      <c r="AI428" s="16"/>
      <c r="AJ428" s="16"/>
      <c r="AK428" s="16"/>
      <c r="AL428" s="16"/>
      <c r="AM428" s="16"/>
      <c r="AN428" s="16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</row>
    <row r="429" spans="1:240" s="3" customFormat="1" ht="30" customHeight="1">
      <c r="A429" s="5">
        <v>427</v>
      </c>
      <c r="B429" s="5" t="s">
        <v>68</v>
      </c>
      <c r="C429" s="5"/>
      <c r="D429" s="5"/>
      <c r="E429" s="5">
        <v>4500</v>
      </c>
      <c r="F429" s="5">
        <v>1145</v>
      </c>
      <c r="G429" s="5">
        <v>950</v>
      </c>
      <c r="H429" s="5">
        <v>482</v>
      </c>
      <c r="I429" s="5" t="s">
        <v>17</v>
      </c>
      <c r="J429" s="5">
        <v>30</v>
      </c>
      <c r="K429" s="10">
        <v>5</v>
      </c>
      <c r="L429" s="11">
        <v>179.2</v>
      </c>
      <c r="M429" s="31">
        <v>10</v>
      </c>
      <c r="N429" s="5">
        <v>60</v>
      </c>
      <c r="O429" s="5">
        <v>55800</v>
      </c>
      <c r="P429" s="5" t="s">
        <v>48</v>
      </c>
      <c r="Q429" s="5"/>
      <c r="R429" s="5" t="s">
        <v>48</v>
      </c>
      <c r="S429" s="5">
        <v>650</v>
      </c>
      <c r="T429" s="5" t="s">
        <v>48</v>
      </c>
      <c r="U429" s="5">
        <v>1340</v>
      </c>
      <c r="V429" s="5">
        <v>7.8</v>
      </c>
      <c r="W429" s="5" t="s">
        <v>10</v>
      </c>
      <c r="X429" s="5">
        <v>64</v>
      </c>
      <c r="Y429" s="5">
        <v>547</v>
      </c>
      <c r="Z429" s="5" t="s">
        <v>48</v>
      </c>
      <c r="AA429" s="5" t="s">
        <v>68</v>
      </c>
      <c r="AB429" s="5"/>
      <c r="AC429" s="5"/>
      <c r="AD429" s="5"/>
      <c r="AE429" s="5"/>
      <c r="AF429" s="5" t="s">
        <v>68</v>
      </c>
      <c r="AG429" s="5"/>
      <c r="AH429" s="16" t="s">
        <v>48</v>
      </c>
      <c r="AI429" s="16"/>
      <c r="AJ429" s="16"/>
      <c r="AK429" s="16"/>
      <c r="AL429" s="16"/>
      <c r="AM429" s="16"/>
      <c r="AN429" s="16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</row>
    <row r="430" spans="1:240" s="3" customFormat="1" ht="30" customHeight="1">
      <c r="A430" s="5">
        <v>428</v>
      </c>
      <c r="B430" s="5" t="s">
        <v>68</v>
      </c>
      <c r="C430" s="5"/>
      <c r="D430" s="5"/>
      <c r="E430" s="5">
        <v>1850</v>
      </c>
      <c r="F430" s="5">
        <v>2195</v>
      </c>
      <c r="G430" s="5">
        <v>1150</v>
      </c>
      <c r="H430" s="5">
        <v>422</v>
      </c>
      <c r="I430" s="5" t="s">
        <v>17</v>
      </c>
      <c r="J430" s="5">
        <v>26.8</v>
      </c>
      <c r="K430" s="10">
        <v>5</v>
      </c>
      <c r="L430" s="11">
        <v>155.69999999999999</v>
      </c>
      <c r="M430" s="31">
        <v>10</v>
      </c>
      <c r="N430" s="5">
        <v>100</v>
      </c>
      <c r="O430" s="5">
        <v>51500</v>
      </c>
      <c r="P430" s="5" t="s">
        <v>48</v>
      </c>
      <c r="Q430" s="5">
        <v>2</v>
      </c>
      <c r="R430" s="5">
        <v>4</v>
      </c>
      <c r="S430" s="5">
        <v>650</v>
      </c>
      <c r="T430" s="5" t="s">
        <v>48</v>
      </c>
      <c r="U430" s="5">
        <v>1340</v>
      </c>
      <c r="V430" s="5">
        <v>8</v>
      </c>
      <c r="W430" s="5" t="s">
        <v>10</v>
      </c>
      <c r="X430" s="5">
        <v>64</v>
      </c>
      <c r="Y430" s="5">
        <v>443</v>
      </c>
      <c r="Z430" s="5" t="s">
        <v>48</v>
      </c>
      <c r="AA430" s="5" t="s">
        <v>68</v>
      </c>
      <c r="AB430" s="5"/>
      <c r="AC430" s="5"/>
      <c r="AD430" s="5"/>
      <c r="AE430" s="5"/>
      <c r="AF430" s="5" t="s">
        <v>68</v>
      </c>
      <c r="AG430" s="5"/>
      <c r="AH430" s="16" t="s">
        <v>48</v>
      </c>
      <c r="AI430" s="16"/>
      <c r="AJ430" s="16"/>
      <c r="AK430" s="16"/>
      <c r="AL430" s="16"/>
      <c r="AM430" s="16"/>
      <c r="AN430" s="16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</row>
    <row r="431" spans="1:240" s="3" customFormat="1" ht="30" customHeight="1">
      <c r="A431" s="5">
        <v>429</v>
      </c>
      <c r="B431" s="5" t="s">
        <v>68</v>
      </c>
      <c r="C431" s="5"/>
      <c r="D431" s="5"/>
      <c r="E431" s="5">
        <v>2775</v>
      </c>
      <c r="F431" s="5">
        <v>2195</v>
      </c>
      <c r="G431" s="5">
        <v>1150</v>
      </c>
      <c r="H431" s="5">
        <v>589</v>
      </c>
      <c r="I431" s="5" t="s">
        <v>17</v>
      </c>
      <c r="J431" s="5">
        <v>40.299999999999997</v>
      </c>
      <c r="K431" s="10">
        <v>5</v>
      </c>
      <c r="L431" s="11">
        <v>234.2</v>
      </c>
      <c r="M431" s="31">
        <v>10</v>
      </c>
      <c r="N431" s="5">
        <v>80</v>
      </c>
      <c r="O431" s="5">
        <v>77600</v>
      </c>
      <c r="P431" s="5" t="s">
        <v>48</v>
      </c>
      <c r="Q431" s="5">
        <v>2</v>
      </c>
      <c r="R431" s="5">
        <v>6</v>
      </c>
      <c r="S431" s="5">
        <v>650</v>
      </c>
      <c r="T431" s="5" t="s">
        <v>48</v>
      </c>
      <c r="U431" s="5">
        <v>1340</v>
      </c>
      <c r="V431" s="5">
        <v>12</v>
      </c>
      <c r="W431" s="5" t="s">
        <v>10</v>
      </c>
      <c r="X431" s="5">
        <v>66</v>
      </c>
      <c r="Y431" s="5">
        <v>670</v>
      </c>
      <c r="Z431" s="5" t="s">
        <v>48</v>
      </c>
      <c r="AA431" s="5" t="s">
        <v>68</v>
      </c>
      <c r="AB431" s="5"/>
      <c r="AC431" s="5"/>
      <c r="AD431" s="5"/>
      <c r="AE431" s="5"/>
      <c r="AF431" s="5" t="s">
        <v>68</v>
      </c>
      <c r="AG431" s="5"/>
      <c r="AH431" s="16" t="s">
        <v>48</v>
      </c>
      <c r="AI431" s="16"/>
      <c r="AJ431" s="16"/>
      <c r="AK431" s="16"/>
      <c r="AL431" s="16"/>
      <c r="AM431" s="16"/>
      <c r="AN431" s="16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</row>
    <row r="432" spans="1:240" s="3" customFormat="1" ht="30" customHeight="1">
      <c r="A432" s="5">
        <v>430</v>
      </c>
      <c r="B432" s="5" t="s">
        <v>68</v>
      </c>
      <c r="C432" s="5"/>
      <c r="D432" s="5"/>
      <c r="E432" s="5">
        <v>4500</v>
      </c>
      <c r="F432" s="5">
        <v>2195</v>
      </c>
      <c r="G432" s="5">
        <v>1150</v>
      </c>
      <c r="H432" s="5">
        <v>873</v>
      </c>
      <c r="I432" s="5" t="s">
        <v>17</v>
      </c>
      <c r="J432" s="5">
        <v>59.9</v>
      </c>
      <c r="K432" s="10">
        <v>5</v>
      </c>
      <c r="L432" s="11">
        <v>358.4</v>
      </c>
      <c r="M432" s="31">
        <v>10</v>
      </c>
      <c r="N432" s="5">
        <v>60</v>
      </c>
      <c r="O432" s="5">
        <v>111600</v>
      </c>
      <c r="P432" s="5" t="s">
        <v>48</v>
      </c>
      <c r="Q432" s="5">
        <v>2</v>
      </c>
      <c r="R432" s="5">
        <v>8</v>
      </c>
      <c r="S432" s="5">
        <v>650</v>
      </c>
      <c r="T432" s="5" t="s">
        <v>48</v>
      </c>
      <c r="U432" s="5">
        <v>1340</v>
      </c>
      <c r="V432" s="5">
        <v>15.6</v>
      </c>
      <c r="W432" s="5" t="s">
        <v>10</v>
      </c>
      <c r="X432" s="5">
        <v>67</v>
      </c>
      <c r="Y432" s="5">
        <v>1095</v>
      </c>
      <c r="Z432" s="5" t="s">
        <v>48</v>
      </c>
      <c r="AA432" s="5" t="s">
        <v>68</v>
      </c>
      <c r="AB432" s="5"/>
      <c r="AC432" s="5"/>
      <c r="AD432" s="5"/>
      <c r="AE432" s="5"/>
      <c r="AF432" s="5" t="s">
        <v>68</v>
      </c>
      <c r="AG432" s="5"/>
      <c r="AH432" s="16" t="s">
        <v>48</v>
      </c>
      <c r="AI432" s="16"/>
      <c r="AJ432" s="16"/>
      <c r="AK432" s="16"/>
      <c r="AL432" s="16"/>
      <c r="AM432" s="16"/>
      <c r="AN432" s="16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</row>
    <row r="433" spans="1:240" s="3" customFormat="1" ht="30" customHeight="1">
      <c r="A433" s="5">
        <v>431</v>
      </c>
      <c r="B433" s="5" t="s">
        <v>68</v>
      </c>
      <c r="C433" s="5"/>
      <c r="D433" s="5"/>
      <c r="E433" s="5">
        <v>925</v>
      </c>
      <c r="F433" s="5">
        <v>895</v>
      </c>
      <c r="G433" s="5">
        <v>950</v>
      </c>
      <c r="H433" s="5">
        <v>92</v>
      </c>
      <c r="I433" s="5" t="s">
        <v>17</v>
      </c>
      <c r="J433" s="5">
        <v>2.9</v>
      </c>
      <c r="K433" s="10">
        <v>5</v>
      </c>
      <c r="L433" s="11">
        <v>17.899999999999999</v>
      </c>
      <c r="M433" s="31">
        <v>10</v>
      </c>
      <c r="N433" s="5">
        <v>60</v>
      </c>
      <c r="O433" s="5">
        <v>4750</v>
      </c>
      <c r="P433" s="5" t="s">
        <v>48</v>
      </c>
      <c r="Q433" s="5" t="s">
        <v>48</v>
      </c>
      <c r="R433" s="5" t="s">
        <v>48</v>
      </c>
      <c r="S433" s="5">
        <v>500</v>
      </c>
      <c r="T433" s="5" t="s">
        <v>48</v>
      </c>
      <c r="U433" s="5">
        <v>890</v>
      </c>
      <c r="V433" s="5">
        <v>0.3</v>
      </c>
      <c r="W433" s="5" t="s">
        <v>18</v>
      </c>
      <c r="X433" s="5">
        <v>39</v>
      </c>
      <c r="Y433" s="5">
        <v>82</v>
      </c>
      <c r="Z433" s="5" t="s">
        <v>48</v>
      </c>
      <c r="AA433" s="5" t="s">
        <v>68</v>
      </c>
      <c r="AB433" s="5"/>
      <c r="AC433" s="5"/>
      <c r="AD433" s="5"/>
      <c r="AE433" s="5"/>
      <c r="AF433" s="5" t="s">
        <v>68</v>
      </c>
      <c r="AG433" s="5"/>
      <c r="AH433" s="16" t="s">
        <v>48</v>
      </c>
      <c r="AI433" s="16"/>
      <c r="AJ433" s="16"/>
      <c r="AK433" s="16"/>
      <c r="AL433" s="16"/>
      <c r="AM433" s="16"/>
      <c r="AN433" s="16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</row>
    <row r="434" spans="1:240" s="3" customFormat="1" ht="30" customHeight="1">
      <c r="A434" s="5">
        <v>432</v>
      </c>
      <c r="B434" s="5" t="s">
        <v>68</v>
      </c>
      <c r="C434" s="5"/>
      <c r="D434" s="5"/>
      <c r="E434" s="5">
        <v>1850</v>
      </c>
      <c r="F434" s="5">
        <v>895</v>
      </c>
      <c r="G434" s="5">
        <v>950</v>
      </c>
      <c r="H434" s="5">
        <v>164</v>
      </c>
      <c r="I434" s="5" t="s">
        <v>17</v>
      </c>
      <c r="J434" s="5">
        <v>6</v>
      </c>
      <c r="K434" s="10">
        <v>5</v>
      </c>
      <c r="L434" s="11">
        <v>36.6</v>
      </c>
      <c r="M434" s="31">
        <v>10</v>
      </c>
      <c r="N434" s="5">
        <v>70</v>
      </c>
      <c r="O434" s="5">
        <v>9620</v>
      </c>
      <c r="P434" s="5" t="s">
        <v>48</v>
      </c>
      <c r="Q434" s="5" t="s">
        <v>48</v>
      </c>
      <c r="R434" s="5" t="s">
        <v>48</v>
      </c>
      <c r="S434" s="5">
        <v>500</v>
      </c>
      <c r="T434" s="5" t="s">
        <v>48</v>
      </c>
      <c r="U434" s="5">
        <v>890</v>
      </c>
      <c r="V434" s="5">
        <v>0.6</v>
      </c>
      <c r="W434" s="5" t="s">
        <v>18</v>
      </c>
      <c r="X434" s="5">
        <v>42</v>
      </c>
      <c r="Y434" s="5">
        <v>169</v>
      </c>
      <c r="Z434" s="5" t="s">
        <v>48</v>
      </c>
      <c r="AA434" s="5" t="s">
        <v>68</v>
      </c>
      <c r="AB434" s="5"/>
      <c r="AC434" s="5"/>
      <c r="AD434" s="5"/>
      <c r="AE434" s="5"/>
      <c r="AF434" s="5" t="s">
        <v>68</v>
      </c>
      <c r="AG434" s="5"/>
      <c r="AH434" s="16" t="s">
        <v>48</v>
      </c>
      <c r="AI434" s="16"/>
      <c r="AJ434" s="16"/>
      <c r="AK434" s="16"/>
      <c r="AL434" s="16"/>
      <c r="AM434" s="16"/>
      <c r="AN434" s="16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</row>
    <row r="435" spans="1:240" s="3" customFormat="1" ht="30" customHeight="1">
      <c r="A435" s="5">
        <v>433</v>
      </c>
      <c r="B435" s="5" t="s">
        <v>68</v>
      </c>
      <c r="C435" s="5"/>
      <c r="D435" s="5"/>
      <c r="E435" s="5">
        <v>2775</v>
      </c>
      <c r="F435" s="5">
        <v>895</v>
      </c>
      <c r="G435" s="5">
        <v>950</v>
      </c>
      <c r="H435" s="5">
        <v>244</v>
      </c>
      <c r="I435" s="5" t="s">
        <v>17</v>
      </c>
      <c r="J435" s="5">
        <v>9.1</v>
      </c>
      <c r="K435" s="10">
        <v>5</v>
      </c>
      <c r="L435" s="11">
        <v>55.1</v>
      </c>
      <c r="M435" s="31">
        <v>10</v>
      </c>
      <c r="N435" s="5">
        <v>50</v>
      </c>
      <c r="O435" s="5">
        <v>14500</v>
      </c>
      <c r="P435" s="5" t="s">
        <v>48</v>
      </c>
      <c r="Q435" s="5" t="s">
        <v>48</v>
      </c>
      <c r="R435" s="5" t="s">
        <v>48</v>
      </c>
      <c r="S435" s="5">
        <v>500</v>
      </c>
      <c r="T435" s="5" t="s">
        <v>48</v>
      </c>
      <c r="U435" s="5">
        <v>890</v>
      </c>
      <c r="V435" s="5">
        <v>0.8</v>
      </c>
      <c r="W435" s="5" t="s">
        <v>18</v>
      </c>
      <c r="X435" s="5">
        <v>43</v>
      </c>
      <c r="Y435" s="5">
        <v>255</v>
      </c>
      <c r="Z435" s="5" t="s">
        <v>48</v>
      </c>
      <c r="AA435" s="5" t="s">
        <v>68</v>
      </c>
      <c r="AB435" s="5"/>
      <c r="AC435" s="5"/>
      <c r="AD435" s="5"/>
      <c r="AE435" s="5"/>
      <c r="AF435" s="5" t="s">
        <v>68</v>
      </c>
      <c r="AG435" s="5"/>
      <c r="AH435" s="16" t="s">
        <v>48</v>
      </c>
      <c r="AI435" s="16"/>
      <c r="AJ435" s="16"/>
      <c r="AK435" s="16"/>
      <c r="AL435" s="16"/>
      <c r="AM435" s="16"/>
      <c r="AN435" s="16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</row>
    <row r="436" spans="1:240" s="3" customFormat="1" ht="30" customHeight="1">
      <c r="A436" s="5">
        <v>434</v>
      </c>
      <c r="B436" s="5" t="s">
        <v>68</v>
      </c>
      <c r="C436" s="5"/>
      <c r="D436" s="5"/>
      <c r="E436" s="5">
        <v>925</v>
      </c>
      <c r="F436" s="5">
        <v>1145</v>
      </c>
      <c r="G436" s="5">
        <v>950</v>
      </c>
      <c r="H436" s="5">
        <v>101</v>
      </c>
      <c r="I436" s="5" t="s">
        <v>17</v>
      </c>
      <c r="J436" s="5">
        <v>5.4</v>
      </c>
      <c r="K436" s="10">
        <v>5</v>
      </c>
      <c r="L436" s="11">
        <v>29</v>
      </c>
      <c r="M436" s="31">
        <v>10</v>
      </c>
      <c r="N436" s="5">
        <v>90</v>
      </c>
      <c r="O436" s="5">
        <v>8070</v>
      </c>
      <c r="P436" s="5" t="s">
        <v>48</v>
      </c>
      <c r="Q436" s="5" t="s">
        <v>48</v>
      </c>
      <c r="R436" s="5" t="s">
        <v>48</v>
      </c>
      <c r="S436" s="5">
        <v>650</v>
      </c>
      <c r="T436" s="5" t="s">
        <v>48</v>
      </c>
      <c r="U436" s="5">
        <v>870</v>
      </c>
      <c r="V436" s="5">
        <v>0.7</v>
      </c>
      <c r="W436" s="5" t="s">
        <v>18</v>
      </c>
      <c r="X436" s="5">
        <v>47</v>
      </c>
      <c r="Y436" s="5">
        <v>108</v>
      </c>
      <c r="Z436" s="5" t="s">
        <v>48</v>
      </c>
      <c r="AA436" s="5" t="s">
        <v>68</v>
      </c>
      <c r="AB436" s="5"/>
      <c r="AC436" s="5"/>
      <c r="AD436" s="5"/>
      <c r="AE436" s="5"/>
      <c r="AF436" s="5" t="s">
        <v>68</v>
      </c>
      <c r="AG436" s="5"/>
      <c r="AH436" s="16" t="s">
        <v>48</v>
      </c>
      <c r="AI436" s="16"/>
      <c r="AJ436" s="16"/>
      <c r="AK436" s="16"/>
      <c r="AL436" s="16"/>
      <c r="AM436" s="16"/>
      <c r="AN436" s="16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</row>
    <row r="437" spans="1:240" s="3" customFormat="1" ht="30" customHeight="1">
      <c r="A437" s="5">
        <v>435</v>
      </c>
      <c r="B437" s="5" t="s">
        <v>68</v>
      </c>
      <c r="C437" s="5"/>
      <c r="D437" s="5"/>
      <c r="E437" s="5">
        <v>1850</v>
      </c>
      <c r="F437" s="5">
        <v>1145</v>
      </c>
      <c r="G437" s="5">
        <v>950</v>
      </c>
      <c r="H437" s="5">
        <v>188</v>
      </c>
      <c r="I437" s="5" t="s">
        <v>17</v>
      </c>
      <c r="J437" s="5">
        <v>9.6</v>
      </c>
      <c r="K437" s="10">
        <v>5</v>
      </c>
      <c r="L437" s="11">
        <v>57.9</v>
      </c>
      <c r="M437" s="31">
        <v>10</v>
      </c>
      <c r="N437" s="5">
        <v>60</v>
      </c>
      <c r="O437" s="5">
        <v>16300</v>
      </c>
      <c r="P437" s="5" t="s">
        <v>48</v>
      </c>
      <c r="Q437" s="5" t="s">
        <v>48</v>
      </c>
      <c r="R437" s="5" t="s">
        <v>48</v>
      </c>
      <c r="S437" s="5">
        <v>650</v>
      </c>
      <c r="T437" s="5" t="s">
        <v>48</v>
      </c>
      <c r="U437" s="5">
        <v>870</v>
      </c>
      <c r="V437" s="5">
        <v>1.4</v>
      </c>
      <c r="W437" s="5" t="s">
        <v>18</v>
      </c>
      <c r="X437" s="5">
        <v>50</v>
      </c>
      <c r="Y437" s="5">
        <v>221</v>
      </c>
      <c r="Z437" s="5" t="s">
        <v>48</v>
      </c>
      <c r="AA437" s="5" t="s">
        <v>68</v>
      </c>
      <c r="AB437" s="5"/>
      <c r="AC437" s="5"/>
      <c r="AD437" s="5"/>
      <c r="AE437" s="5"/>
      <c r="AF437" s="5" t="s">
        <v>68</v>
      </c>
      <c r="AG437" s="5"/>
      <c r="AH437" s="16" t="s">
        <v>48</v>
      </c>
      <c r="AI437" s="16"/>
      <c r="AJ437" s="16"/>
      <c r="AK437" s="16"/>
      <c r="AL437" s="16"/>
      <c r="AM437" s="16"/>
      <c r="AN437" s="16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</row>
    <row r="438" spans="1:240" s="3" customFormat="1" ht="30" customHeight="1">
      <c r="A438" s="5">
        <v>436</v>
      </c>
      <c r="B438" s="5" t="s">
        <v>68</v>
      </c>
      <c r="C438" s="5"/>
      <c r="D438" s="5"/>
      <c r="E438" s="5">
        <v>2775</v>
      </c>
      <c r="F438" s="5">
        <v>1145</v>
      </c>
      <c r="G438" s="5">
        <v>950</v>
      </c>
      <c r="H438" s="5">
        <v>265</v>
      </c>
      <c r="I438" s="5" t="s">
        <v>17</v>
      </c>
      <c r="J438" s="5">
        <v>15.2</v>
      </c>
      <c r="K438" s="10">
        <v>5</v>
      </c>
      <c r="L438" s="11">
        <v>88.9</v>
      </c>
      <c r="M438" s="31">
        <v>10</v>
      </c>
      <c r="N438" s="5">
        <v>80</v>
      </c>
      <c r="O438" s="5">
        <v>24600</v>
      </c>
      <c r="P438" s="5" t="s">
        <v>48</v>
      </c>
      <c r="Q438" s="5" t="s">
        <v>48</v>
      </c>
      <c r="R438" s="5" t="s">
        <v>48</v>
      </c>
      <c r="S438" s="5">
        <v>650</v>
      </c>
      <c r="T438" s="5" t="s">
        <v>48</v>
      </c>
      <c r="U438" s="5">
        <v>870</v>
      </c>
      <c r="V438" s="5">
        <v>2</v>
      </c>
      <c r="W438" s="5" t="s">
        <v>18</v>
      </c>
      <c r="X438" s="5">
        <v>51</v>
      </c>
      <c r="Y438" s="5">
        <v>335</v>
      </c>
      <c r="Z438" s="5" t="s">
        <v>48</v>
      </c>
      <c r="AA438" s="5" t="s">
        <v>68</v>
      </c>
      <c r="AB438" s="5"/>
      <c r="AC438" s="5"/>
      <c r="AD438" s="5"/>
      <c r="AE438" s="5"/>
      <c r="AF438" s="5" t="s">
        <v>68</v>
      </c>
      <c r="AG438" s="5"/>
      <c r="AH438" s="16" t="s">
        <v>48</v>
      </c>
      <c r="AI438" s="16"/>
      <c r="AJ438" s="16"/>
      <c r="AK438" s="16"/>
      <c r="AL438" s="16"/>
      <c r="AM438" s="16"/>
      <c r="AN438" s="16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</row>
    <row r="439" spans="1:240" s="3" customFormat="1" ht="30" customHeight="1">
      <c r="A439" s="5">
        <v>437</v>
      </c>
      <c r="B439" s="5" t="s">
        <v>68</v>
      </c>
      <c r="C439" s="5"/>
      <c r="D439" s="5"/>
      <c r="E439" s="5">
        <v>1850</v>
      </c>
      <c r="F439" s="5">
        <v>2195</v>
      </c>
      <c r="G439" s="5">
        <v>1150</v>
      </c>
      <c r="H439" s="5">
        <v>417</v>
      </c>
      <c r="I439" s="5" t="s">
        <v>17</v>
      </c>
      <c r="J439" s="5">
        <v>19.5</v>
      </c>
      <c r="K439" s="10">
        <v>5</v>
      </c>
      <c r="L439" s="11">
        <v>116.5</v>
      </c>
      <c r="M439" s="31">
        <v>10</v>
      </c>
      <c r="N439" s="5">
        <v>100</v>
      </c>
      <c r="O439" s="5">
        <v>32700</v>
      </c>
      <c r="P439" s="5" t="s">
        <v>48</v>
      </c>
      <c r="Q439" s="5">
        <v>2</v>
      </c>
      <c r="R439" s="5">
        <v>4</v>
      </c>
      <c r="S439" s="5">
        <v>650</v>
      </c>
      <c r="T439" s="5" t="s">
        <v>48</v>
      </c>
      <c r="U439" s="5" t="s">
        <v>19</v>
      </c>
      <c r="V439" s="5">
        <v>2.7</v>
      </c>
      <c r="W439" s="5" t="s">
        <v>20</v>
      </c>
      <c r="X439" s="5">
        <v>52</v>
      </c>
      <c r="Y439" s="5">
        <v>443</v>
      </c>
      <c r="Z439" s="5" t="s">
        <v>48</v>
      </c>
      <c r="AA439" s="5" t="s">
        <v>68</v>
      </c>
      <c r="AB439" s="5"/>
      <c r="AC439" s="5"/>
      <c r="AD439" s="5"/>
      <c r="AE439" s="5"/>
      <c r="AF439" s="5" t="s">
        <v>68</v>
      </c>
      <c r="AG439" s="5"/>
      <c r="AH439" s="16" t="s">
        <v>48</v>
      </c>
      <c r="AI439" s="16"/>
      <c r="AJ439" s="16"/>
      <c r="AK439" s="16"/>
      <c r="AL439" s="16"/>
      <c r="AM439" s="16"/>
      <c r="AN439" s="16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</row>
    <row r="440" spans="1:240" s="3" customFormat="1" ht="30" customHeight="1">
      <c r="A440" s="5">
        <v>438</v>
      </c>
      <c r="B440" s="5" t="s">
        <v>68</v>
      </c>
      <c r="C440" s="5"/>
      <c r="D440" s="5"/>
      <c r="E440" s="5">
        <v>2775</v>
      </c>
      <c r="F440" s="5">
        <v>2195</v>
      </c>
      <c r="G440" s="5">
        <v>1150</v>
      </c>
      <c r="H440" s="5">
        <v>584</v>
      </c>
      <c r="I440" s="5" t="s">
        <v>17</v>
      </c>
      <c r="J440" s="5">
        <v>29.3</v>
      </c>
      <c r="K440" s="10">
        <v>5</v>
      </c>
      <c r="L440" s="11">
        <v>177.8</v>
      </c>
      <c r="M440" s="31">
        <v>10</v>
      </c>
      <c r="N440" s="5">
        <v>70</v>
      </c>
      <c r="O440" s="5">
        <v>49200</v>
      </c>
      <c r="P440" s="5" t="s">
        <v>48</v>
      </c>
      <c r="Q440" s="5">
        <v>2</v>
      </c>
      <c r="R440" s="5">
        <v>6</v>
      </c>
      <c r="S440" s="5">
        <v>650</v>
      </c>
      <c r="T440" s="5" t="s">
        <v>48</v>
      </c>
      <c r="U440" s="5" t="s">
        <v>19</v>
      </c>
      <c r="V440" s="5">
        <v>4.0999999999999996</v>
      </c>
      <c r="W440" s="5" t="s">
        <v>20</v>
      </c>
      <c r="X440" s="5">
        <v>54</v>
      </c>
      <c r="Y440" s="5">
        <v>670</v>
      </c>
      <c r="Z440" s="5" t="s">
        <v>48</v>
      </c>
      <c r="AA440" s="5" t="s">
        <v>68</v>
      </c>
      <c r="AB440" s="5"/>
      <c r="AC440" s="5"/>
      <c r="AD440" s="5"/>
      <c r="AE440" s="5"/>
      <c r="AF440" s="5" t="s">
        <v>68</v>
      </c>
      <c r="AG440" s="5"/>
      <c r="AH440" s="16" t="s">
        <v>48</v>
      </c>
      <c r="AI440" s="16"/>
      <c r="AJ440" s="16"/>
      <c r="AK440" s="16"/>
      <c r="AL440" s="16"/>
      <c r="AM440" s="16"/>
      <c r="AN440" s="16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</row>
    <row r="441" spans="1:240" s="3" customFormat="1" ht="30" customHeight="1">
      <c r="A441" s="5">
        <v>439</v>
      </c>
      <c r="B441" s="5" t="s">
        <v>68</v>
      </c>
      <c r="C441" s="5"/>
      <c r="D441" s="5"/>
      <c r="E441" s="5">
        <v>4500</v>
      </c>
      <c r="F441" s="5">
        <v>2195</v>
      </c>
      <c r="G441" s="5">
        <v>1150</v>
      </c>
      <c r="H441" s="5">
        <v>870</v>
      </c>
      <c r="I441" s="5" t="s">
        <v>17</v>
      </c>
      <c r="J441" s="5">
        <v>43.5</v>
      </c>
      <c r="K441" s="10">
        <v>5</v>
      </c>
      <c r="L441" s="11">
        <v>264.60000000000002</v>
      </c>
      <c r="M441" s="31">
        <v>10</v>
      </c>
      <c r="N441" s="5">
        <v>70</v>
      </c>
      <c r="O441" s="5">
        <v>71100</v>
      </c>
      <c r="P441" s="5" t="s">
        <v>48</v>
      </c>
      <c r="Q441" s="5">
        <v>2</v>
      </c>
      <c r="R441" s="5">
        <v>8</v>
      </c>
      <c r="S441" s="5">
        <v>650</v>
      </c>
      <c r="T441" s="5" t="s">
        <v>48</v>
      </c>
      <c r="U441" s="5" t="s">
        <v>19</v>
      </c>
      <c r="V441" s="5">
        <v>5.4</v>
      </c>
      <c r="W441" s="5" t="s">
        <v>20</v>
      </c>
      <c r="X441" s="5">
        <v>55</v>
      </c>
      <c r="Y441" s="5">
        <v>1095</v>
      </c>
      <c r="Z441" s="5" t="s">
        <v>48</v>
      </c>
      <c r="AA441" s="5" t="s">
        <v>68</v>
      </c>
      <c r="AB441" s="5"/>
      <c r="AC441" s="5"/>
      <c r="AD441" s="5"/>
      <c r="AE441" s="5"/>
      <c r="AF441" s="5" t="s">
        <v>68</v>
      </c>
      <c r="AG441" s="5"/>
      <c r="AH441" s="16" t="s">
        <v>48</v>
      </c>
      <c r="AI441" s="16"/>
      <c r="AJ441" s="16"/>
      <c r="AK441" s="16"/>
      <c r="AL441" s="16"/>
      <c r="AM441" s="16"/>
      <c r="AN441" s="16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</row>
    <row r="442" spans="1:240" s="3" customFormat="1" ht="30" customHeight="1">
      <c r="A442" s="5">
        <v>440</v>
      </c>
      <c r="B442" s="5" t="s">
        <v>68</v>
      </c>
      <c r="C442" s="5"/>
      <c r="D442" s="5"/>
      <c r="E442" s="5">
        <v>2700</v>
      </c>
      <c r="F442" s="5">
        <v>1141</v>
      </c>
      <c r="G442" s="5">
        <v>1430</v>
      </c>
      <c r="H442" s="5" t="s">
        <v>48</v>
      </c>
      <c r="I442" s="5" t="s">
        <v>13</v>
      </c>
      <c r="J442" s="5">
        <v>3</v>
      </c>
      <c r="K442" s="10">
        <v>4</v>
      </c>
      <c r="L442" s="11">
        <v>14</v>
      </c>
      <c r="M442" s="31">
        <v>4</v>
      </c>
      <c r="N442" s="5">
        <v>18</v>
      </c>
      <c r="O442" s="5">
        <v>10500</v>
      </c>
      <c r="P442" s="5" t="s">
        <v>48</v>
      </c>
      <c r="Q442" s="5"/>
      <c r="R442" s="5">
        <v>1</v>
      </c>
      <c r="S442" s="5">
        <v>800</v>
      </c>
      <c r="T442" s="5" t="s">
        <v>48</v>
      </c>
      <c r="U442" s="5" t="s">
        <v>48</v>
      </c>
      <c r="V442" s="5">
        <v>0.27</v>
      </c>
      <c r="W442" s="5" t="s">
        <v>7</v>
      </c>
      <c r="X442" s="5">
        <v>66</v>
      </c>
      <c r="Y442" s="5">
        <v>197.6</v>
      </c>
      <c r="Z442" s="5" t="s">
        <v>48</v>
      </c>
      <c r="AA442" s="5" t="s">
        <v>68</v>
      </c>
      <c r="AB442" s="5"/>
      <c r="AC442" s="5"/>
      <c r="AD442" s="5"/>
      <c r="AE442" s="5"/>
      <c r="AF442" s="5" t="s">
        <v>68</v>
      </c>
      <c r="AG442" s="5"/>
      <c r="AH442" s="16">
        <v>3000</v>
      </c>
      <c r="AI442" s="16"/>
      <c r="AJ442" s="16" t="s">
        <v>68</v>
      </c>
      <c r="AK442" s="16"/>
      <c r="AL442" s="16"/>
      <c r="AM442" s="16">
        <f>AH442+850</f>
        <v>3850</v>
      </c>
      <c r="AN442" s="16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</row>
    <row r="443" spans="1:240" s="3" customFormat="1" ht="30" customHeight="1">
      <c r="A443" s="5">
        <v>441</v>
      </c>
      <c r="B443" s="5"/>
      <c r="C443" s="5" t="s">
        <v>68</v>
      </c>
      <c r="D443" s="5"/>
      <c r="E443" s="5">
        <v>2000</v>
      </c>
      <c r="F443" s="5">
        <v>1145</v>
      </c>
      <c r="G443" s="5">
        <v>950</v>
      </c>
      <c r="H443" s="5" t="s">
        <v>48</v>
      </c>
      <c r="I443" s="5" t="s">
        <v>13</v>
      </c>
      <c r="J443" s="5">
        <v>3.7</v>
      </c>
      <c r="K443" s="10">
        <v>5</v>
      </c>
      <c r="L443" s="11">
        <v>21.5</v>
      </c>
      <c r="M443" s="31">
        <v>2.5</v>
      </c>
      <c r="N443" s="5">
        <v>15</v>
      </c>
      <c r="O443" s="5">
        <v>13000</v>
      </c>
      <c r="P443" s="33">
        <v>20</v>
      </c>
      <c r="Q443" s="5"/>
      <c r="R443" s="5">
        <v>2</v>
      </c>
      <c r="S443" s="5" t="s">
        <v>48</v>
      </c>
      <c r="T443" s="5" t="s">
        <v>48</v>
      </c>
      <c r="U443" s="5" t="s">
        <v>48</v>
      </c>
      <c r="V443" s="5">
        <v>0.65</v>
      </c>
      <c r="W443" s="5" t="s">
        <v>7</v>
      </c>
      <c r="X443" s="5">
        <v>45</v>
      </c>
      <c r="Y443" s="5">
        <v>221</v>
      </c>
      <c r="Z443" s="5" t="s">
        <v>48</v>
      </c>
      <c r="AA443" s="5" t="s">
        <v>68</v>
      </c>
      <c r="AB443" s="5"/>
      <c r="AC443" s="5"/>
      <c r="AD443" s="5"/>
      <c r="AE443" s="5"/>
      <c r="AF443" s="5" t="s">
        <v>68</v>
      </c>
      <c r="AG443" s="5"/>
      <c r="AH443" s="16">
        <v>4000</v>
      </c>
      <c r="AI443" s="16"/>
      <c r="AJ443" s="16"/>
      <c r="AK443" s="16"/>
      <c r="AL443" s="16"/>
      <c r="AM443" s="16"/>
      <c r="AN443" s="16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</row>
    <row r="444" spans="1:240" ht="30" customHeight="1">
      <c r="A444" s="5">
        <v>442</v>
      </c>
      <c r="B444" s="5" t="s">
        <v>68</v>
      </c>
      <c r="C444" s="5"/>
      <c r="D444" s="5"/>
      <c r="E444" s="5">
        <v>2490</v>
      </c>
      <c r="F444" s="5">
        <v>1185</v>
      </c>
      <c r="G444" s="5">
        <v>1660</v>
      </c>
      <c r="H444" s="5">
        <v>503</v>
      </c>
      <c r="I444" s="5" t="s">
        <v>17</v>
      </c>
      <c r="J444" s="18">
        <v>25</v>
      </c>
      <c r="K444" s="30">
        <v>5</v>
      </c>
      <c r="L444" s="11">
        <v>132</v>
      </c>
      <c r="M444" s="31">
        <v>10</v>
      </c>
      <c r="N444" s="5">
        <v>27</v>
      </c>
      <c r="O444" s="19">
        <v>42000</v>
      </c>
      <c r="P444" s="5" t="s">
        <v>48</v>
      </c>
      <c r="Q444" s="18"/>
      <c r="R444" s="18">
        <v>2</v>
      </c>
      <c r="S444" s="5">
        <v>800</v>
      </c>
      <c r="T444" s="5">
        <v>690</v>
      </c>
      <c r="U444" s="5">
        <v>890</v>
      </c>
      <c r="V444" s="5">
        <v>3.4</v>
      </c>
      <c r="W444" s="5" t="s">
        <v>10</v>
      </c>
      <c r="X444" s="5">
        <v>51</v>
      </c>
      <c r="Y444" s="5">
        <v>536</v>
      </c>
      <c r="Z444" s="5" t="s">
        <v>48</v>
      </c>
      <c r="AA444" s="5" t="s">
        <v>68</v>
      </c>
      <c r="AB444" s="5"/>
      <c r="AC444" s="5"/>
      <c r="AD444" s="5"/>
      <c r="AE444" s="5"/>
      <c r="AF444" s="5" t="s">
        <v>68</v>
      </c>
      <c r="AG444" s="5"/>
      <c r="AH444" s="16">
        <v>8397</v>
      </c>
      <c r="AI444" s="16"/>
      <c r="AJ444" s="16"/>
      <c r="AK444" s="16"/>
      <c r="AL444" s="16"/>
      <c r="AM444" s="16">
        <f>AH444</f>
        <v>8397</v>
      </c>
      <c r="AN444" s="16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</row>
    <row r="445" spans="1:240" ht="30" customHeight="1">
      <c r="A445" s="5">
        <v>443</v>
      </c>
      <c r="B445" s="5" t="s">
        <v>68</v>
      </c>
      <c r="C445" s="5"/>
      <c r="D445" s="5"/>
      <c r="E445" s="5">
        <v>4890</v>
      </c>
      <c r="F445" s="5">
        <v>1185</v>
      </c>
      <c r="G445" s="5">
        <v>1660</v>
      </c>
      <c r="H445" s="5">
        <v>949</v>
      </c>
      <c r="I445" s="5" t="s">
        <v>17</v>
      </c>
      <c r="J445" s="5">
        <v>49.3</v>
      </c>
      <c r="K445" s="30">
        <v>5</v>
      </c>
      <c r="L445" s="5">
        <v>259</v>
      </c>
      <c r="M445" s="31">
        <v>10</v>
      </c>
      <c r="N445" s="5">
        <v>26</v>
      </c>
      <c r="O445" s="5">
        <v>84000</v>
      </c>
      <c r="P445" s="5" t="s">
        <v>48</v>
      </c>
      <c r="Q445" s="5"/>
      <c r="R445" s="5">
        <v>4</v>
      </c>
      <c r="S445" s="5">
        <v>800</v>
      </c>
      <c r="T445" s="5">
        <v>690</v>
      </c>
      <c r="U445" s="5">
        <v>890</v>
      </c>
      <c r="V445" s="5">
        <v>6.8</v>
      </c>
      <c r="W445" s="5" t="s">
        <v>10</v>
      </c>
      <c r="X445" s="5">
        <v>54</v>
      </c>
      <c r="Y445" s="5">
        <v>1072</v>
      </c>
      <c r="Z445" s="5" t="s">
        <v>48</v>
      </c>
      <c r="AA445" s="5" t="s">
        <v>68</v>
      </c>
      <c r="AB445" s="5"/>
      <c r="AC445" s="5"/>
      <c r="AD445" s="5"/>
      <c r="AE445" s="5"/>
      <c r="AF445" s="5" t="s">
        <v>68</v>
      </c>
      <c r="AG445" s="5"/>
      <c r="AH445" s="5" t="s">
        <v>48</v>
      </c>
      <c r="AI445" s="5"/>
      <c r="AJ445" s="5"/>
      <c r="AK445" s="5"/>
      <c r="AL445" s="5"/>
      <c r="AM445" s="5"/>
      <c r="AN445" s="5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</row>
    <row r="446" spans="1:240" ht="30" customHeight="1">
      <c r="A446" s="5">
        <v>444</v>
      </c>
      <c r="B446" s="5" t="s">
        <v>68</v>
      </c>
      <c r="C446" s="5"/>
      <c r="D446" s="5"/>
      <c r="E446" s="5">
        <v>7290</v>
      </c>
      <c r="F446" s="5">
        <v>1185</v>
      </c>
      <c r="G446" s="5">
        <v>1660</v>
      </c>
      <c r="H446" s="5">
        <v>1387</v>
      </c>
      <c r="I446" s="5" t="s">
        <v>17</v>
      </c>
      <c r="J446" s="5">
        <v>77.7</v>
      </c>
      <c r="K446" s="30">
        <v>5</v>
      </c>
      <c r="L446" s="5">
        <v>410</v>
      </c>
      <c r="M446" s="31">
        <v>10</v>
      </c>
      <c r="N446" s="5">
        <v>82</v>
      </c>
      <c r="O446" s="5">
        <v>126000</v>
      </c>
      <c r="P446" s="5" t="s">
        <v>48</v>
      </c>
      <c r="Q446" s="5"/>
      <c r="R446" s="5">
        <v>6</v>
      </c>
      <c r="S446" s="5">
        <v>800</v>
      </c>
      <c r="T446" s="5">
        <v>690</v>
      </c>
      <c r="U446" s="5">
        <v>890</v>
      </c>
      <c r="V446" s="5">
        <v>10.1</v>
      </c>
      <c r="W446" s="5" t="s">
        <v>10</v>
      </c>
      <c r="X446" s="5">
        <v>55</v>
      </c>
      <c r="Y446" s="5">
        <v>1609</v>
      </c>
      <c r="Z446" s="5" t="s">
        <v>48</v>
      </c>
      <c r="AA446" s="5" t="s">
        <v>68</v>
      </c>
      <c r="AB446" s="5"/>
      <c r="AC446" s="5"/>
      <c r="AD446" s="5"/>
      <c r="AE446" s="5"/>
      <c r="AF446" s="5" t="s">
        <v>68</v>
      </c>
      <c r="AG446" s="5"/>
      <c r="AH446" s="5" t="s">
        <v>48</v>
      </c>
      <c r="AI446" s="5"/>
      <c r="AJ446" s="5"/>
      <c r="AK446" s="5"/>
      <c r="AL446" s="5"/>
      <c r="AM446" s="5"/>
      <c r="AN446" s="5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</row>
    <row r="447" spans="1:240" ht="30" customHeight="1">
      <c r="A447" s="5">
        <v>445</v>
      </c>
      <c r="B447" s="5" t="s">
        <v>68</v>
      </c>
      <c r="C447" s="5"/>
      <c r="D447" s="5"/>
      <c r="E447" s="5">
        <v>9690</v>
      </c>
      <c r="F447" s="5">
        <v>1185</v>
      </c>
      <c r="G447" s="5">
        <v>1660</v>
      </c>
      <c r="H447" s="5">
        <v>1829</v>
      </c>
      <c r="I447" s="5" t="s">
        <v>17</v>
      </c>
      <c r="J447" s="5">
        <v>92.4</v>
      </c>
      <c r="K447" s="30">
        <v>5</v>
      </c>
      <c r="L447" s="5">
        <v>487</v>
      </c>
      <c r="M447" s="31">
        <v>10</v>
      </c>
      <c r="N447" s="5">
        <v>22</v>
      </c>
      <c r="O447" s="5">
        <v>168000</v>
      </c>
      <c r="P447" s="5" t="s">
        <v>48</v>
      </c>
      <c r="Q447" s="5"/>
      <c r="R447" s="5">
        <v>8</v>
      </c>
      <c r="S447" s="5">
        <v>800</v>
      </c>
      <c r="T447" s="5">
        <v>690</v>
      </c>
      <c r="U447" s="5">
        <v>890</v>
      </c>
      <c r="V447" s="5">
        <v>13.5</v>
      </c>
      <c r="W447" s="5" t="s">
        <v>10</v>
      </c>
      <c r="X447" s="5">
        <v>56</v>
      </c>
      <c r="Y447" s="5">
        <v>2145</v>
      </c>
      <c r="Z447" s="5" t="s">
        <v>48</v>
      </c>
      <c r="AA447" s="5" t="s">
        <v>68</v>
      </c>
      <c r="AB447" s="5"/>
      <c r="AC447" s="5"/>
      <c r="AD447" s="5"/>
      <c r="AE447" s="5"/>
      <c r="AF447" s="5" t="s">
        <v>68</v>
      </c>
      <c r="AG447" s="5"/>
      <c r="AH447" s="5" t="s">
        <v>48</v>
      </c>
      <c r="AI447" s="5"/>
      <c r="AJ447" s="5"/>
      <c r="AK447" s="5"/>
      <c r="AL447" s="5"/>
      <c r="AM447" s="5"/>
      <c r="AN447" s="5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</row>
    <row r="448" spans="1:240" ht="30" customHeight="1">
      <c r="A448" s="5">
        <v>446</v>
      </c>
      <c r="B448" s="5" t="s">
        <v>68</v>
      </c>
      <c r="C448" s="5"/>
      <c r="D448" s="5"/>
      <c r="E448" s="5">
        <v>2490</v>
      </c>
      <c r="F448" s="5">
        <v>1185</v>
      </c>
      <c r="G448" s="5">
        <v>1720</v>
      </c>
      <c r="H448" s="5">
        <v>537</v>
      </c>
      <c r="I448" s="5" t="s">
        <v>17</v>
      </c>
      <c r="J448" s="5">
        <v>32.299999999999997</v>
      </c>
      <c r="K448" s="30">
        <v>5</v>
      </c>
      <c r="L448" s="5">
        <v>173</v>
      </c>
      <c r="M448" s="31">
        <v>10</v>
      </c>
      <c r="N448" s="5">
        <v>44</v>
      </c>
      <c r="O448" s="5">
        <v>62200</v>
      </c>
      <c r="P448" s="5" t="s">
        <v>48</v>
      </c>
      <c r="Q448" s="5"/>
      <c r="R448" s="5">
        <v>2</v>
      </c>
      <c r="S448" s="5">
        <v>900</v>
      </c>
      <c r="T448" s="5">
        <v>700</v>
      </c>
      <c r="U448" s="5">
        <v>890</v>
      </c>
      <c r="V448" s="5">
        <v>7.1</v>
      </c>
      <c r="W448" s="5" t="s">
        <v>10</v>
      </c>
      <c r="X448" s="5">
        <v>60</v>
      </c>
      <c r="Y448" s="5">
        <v>536</v>
      </c>
      <c r="Z448" s="5" t="s">
        <v>48</v>
      </c>
      <c r="AA448" s="5" t="s">
        <v>68</v>
      </c>
      <c r="AB448" s="5"/>
      <c r="AC448" s="5"/>
      <c r="AD448" s="5"/>
      <c r="AE448" s="5"/>
      <c r="AF448" s="5" t="s">
        <v>68</v>
      </c>
      <c r="AG448" s="5"/>
      <c r="AH448" s="16">
        <v>9491</v>
      </c>
      <c r="AI448" s="16"/>
      <c r="AJ448" s="16"/>
      <c r="AK448" s="16"/>
      <c r="AL448" s="16"/>
      <c r="AM448" s="16">
        <f>AH448</f>
        <v>9491</v>
      </c>
      <c r="AN448" s="5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</row>
    <row r="449" spans="1:240" ht="30" customHeight="1">
      <c r="A449" s="5">
        <v>447</v>
      </c>
      <c r="B449" s="5" t="s">
        <v>68</v>
      </c>
      <c r="C449" s="5"/>
      <c r="D449" s="5"/>
      <c r="E449" s="5">
        <v>4890</v>
      </c>
      <c r="F449" s="5">
        <v>1185</v>
      </c>
      <c r="G449" s="5">
        <v>1720</v>
      </c>
      <c r="H449" s="5">
        <v>1015</v>
      </c>
      <c r="I449" s="5" t="s">
        <v>17</v>
      </c>
      <c r="J449" s="5">
        <v>63.5</v>
      </c>
      <c r="K449" s="30">
        <v>5</v>
      </c>
      <c r="L449" s="5">
        <v>341</v>
      </c>
      <c r="M449" s="31">
        <v>10</v>
      </c>
      <c r="N449" s="5">
        <v>42</v>
      </c>
      <c r="O449" s="5">
        <v>124400</v>
      </c>
      <c r="P449" s="5" t="s">
        <v>48</v>
      </c>
      <c r="Q449" s="5"/>
      <c r="R449" s="5">
        <v>4</v>
      </c>
      <c r="S449" s="5">
        <v>900</v>
      </c>
      <c r="T449" s="5">
        <v>700</v>
      </c>
      <c r="U449" s="5">
        <v>890</v>
      </c>
      <c r="V449" s="5">
        <v>14.2</v>
      </c>
      <c r="W449" s="5" t="s">
        <v>10</v>
      </c>
      <c r="X449" s="5">
        <v>63</v>
      </c>
      <c r="Y449" s="5">
        <v>1072</v>
      </c>
      <c r="Z449" s="5" t="s">
        <v>48</v>
      </c>
      <c r="AA449" s="5" t="s">
        <v>68</v>
      </c>
      <c r="AB449" s="5"/>
      <c r="AC449" s="5"/>
      <c r="AD449" s="5"/>
      <c r="AE449" s="5"/>
      <c r="AF449" s="5" t="s">
        <v>68</v>
      </c>
      <c r="AG449" s="5"/>
      <c r="AH449" s="16">
        <v>17914</v>
      </c>
      <c r="AI449" s="16"/>
      <c r="AJ449" s="16"/>
      <c r="AK449" s="16"/>
      <c r="AL449" s="16"/>
      <c r="AM449" s="16">
        <f>AH449</f>
        <v>17914</v>
      </c>
      <c r="AN449" s="5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</row>
    <row r="450" spans="1:240" ht="30" customHeight="1">
      <c r="A450" s="5">
        <v>448</v>
      </c>
      <c r="B450" s="5" t="s">
        <v>68</v>
      </c>
      <c r="C450" s="5"/>
      <c r="D450" s="5"/>
      <c r="E450" s="5">
        <v>7290</v>
      </c>
      <c r="F450" s="5">
        <v>1185</v>
      </c>
      <c r="G450" s="5">
        <v>1720</v>
      </c>
      <c r="H450" s="5">
        <v>1486</v>
      </c>
      <c r="I450" s="5" t="s">
        <v>17</v>
      </c>
      <c r="J450" s="5">
        <v>85.2</v>
      </c>
      <c r="K450" s="30">
        <v>5</v>
      </c>
      <c r="L450" s="5">
        <v>458</v>
      </c>
      <c r="M450" s="31">
        <v>10</v>
      </c>
      <c r="N450" s="5">
        <v>16</v>
      </c>
      <c r="O450" s="5">
        <v>186600</v>
      </c>
      <c r="P450" s="5" t="s">
        <v>48</v>
      </c>
      <c r="Q450" s="5"/>
      <c r="R450" s="5">
        <v>6</v>
      </c>
      <c r="S450" s="5">
        <v>900</v>
      </c>
      <c r="T450" s="5">
        <v>700</v>
      </c>
      <c r="U450" s="5">
        <v>890</v>
      </c>
      <c r="V450" s="5">
        <v>21.3</v>
      </c>
      <c r="W450" s="5" t="s">
        <v>10</v>
      </c>
      <c r="X450" s="5">
        <v>64</v>
      </c>
      <c r="Y450" s="5">
        <v>1609</v>
      </c>
      <c r="Z450" s="5" t="s">
        <v>48</v>
      </c>
      <c r="AA450" s="5" t="s">
        <v>68</v>
      </c>
      <c r="AB450" s="5"/>
      <c r="AC450" s="5"/>
      <c r="AD450" s="5"/>
      <c r="AE450" s="5"/>
      <c r="AF450" s="5" t="s">
        <v>68</v>
      </c>
      <c r="AG450" s="5"/>
      <c r="AH450" s="16">
        <v>26306</v>
      </c>
      <c r="AI450" s="16"/>
      <c r="AJ450" s="16"/>
      <c r="AK450" s="16"/>
      <c r="AL450" s="16"/>
      <c r="AM450" s="16">
        <f>AH450</f>
        <v>26306</v>
      </c>
      <c r="AN450" s="5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</row>
    <row r="451" spans="1:240" ht="30" customHeight="1">
      <c r="A451" s="5">
        <v>449</v>
      </c>
      <c r="B451" s="5" t="s">
        <v>68</v>
      </c>
      <c r="C451" s="5"/>
      <c r="D451" s="5"/>
      <c r="E451" s="5">
        <v>9690</v>
      </c>
      <c r="F451" s="5">
        <v>1185</v>
      </c>
      <c r="G451" s="5">
        <v>1720</v>
      </c>
      <c r="H451" s="5">
        <v>1970</v>
      </c>
      <c r="I451" s="5" t="s">
        <v>17</v>
      </c>
      <c r="J451" s="5">
        <v>120.4</v>
      </c>
      <c r="K451" s="30">
        <v>5</v>
      </c>
      <c r="L451" s="5">
        <v>647</v>
      </c>
      <c r="M451" s="31">
        <v>10</v>
      </c>
      <c r="N451" s="5">
        <v>37</v>
      </c>
      <c r="O451" s="5">
        <v>248800</v>
      </c>
      <c r="P451" s="5" t="s">
        <v>48</v>
      </c>
      <c r="Q451" s="5"/>
      <c r="R451" s="5">
        <v>8</v>
      </c>
      <c r="S451" s="5">
        <v>900</v>
      </c>
      <c r="T451" s="5">
        <v>700</v>
      </c>
      <c r="U451" s="5">
        <v>890</v>
      </c>
      <c r="V451" s="5">
        <v>28.4</v>
      </c>
      <c r="W451" s="5" t="s">
        <v>10</v>
      </c>
      <c r="X451" s="5">
        <v>65</v>
      </c>
      <c r="Y451" s="5">
        <v>2145</v>
      </c>
      <c r="Z451" s="5" t="s">
        <v>48</v>
      </c>
      <c r="AA451" s="5" t="s">
        <v>68</v>
      </c>
      <c r="AB451" s="5"/>
      <c r="AC451" s="5"/>
      <c r="AD451" s="5"/>
      <c r="AE451" s="5"/>
      <c r="AF451" s="5" t="s">
        <v>68</v>
      </c>
      <c r="AG451" s="5"/>
      <c r="AH451" s="16">
        <v>34910</v>
      </c>
      <c r="AI451" s="16"/>
      <c r="AJ451" s="16"/>
      <c r="AK451" s="16"/>
      <c r="AL451" s="16"/>
      <c r="AM451" s="16">
        <f>AH451</f>
        <v>34910</v>
      </c>
      <c r="AN451" s="5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</row>
    <row r="452" spans="1:240" ht="30" customHeight="1">
      <c r="A452" s="5">
        <v>450</v>
      </c>
      <c r="B452" s="5" t="s">
        <v>68</v>
      </c>
      <c r="C452" s="5"/>
      <c r="D452" s="5"/>
      <c r="E452" s="5">
        <v>2490</v>
      </c>
      <c r="F452" s="5">
        <v>1185</v>
      </c>
      <c r="G452" s="5">
        <v>1660</v>
      </c>
      <c r="H452" s="5">
        <v>503</v>
      </c>
      <c r="I452" s="5" t="s">
        <v>17</v>
      </c>
      <c r="J452" s="5">
        <v>24.2</v>
      </c>
      <c r="K452" s="30">
        <v>5</v>
      </c>
      <c r="L452" s="5">
        <v>128</v>
      </c>
      <c r="M452" s="31">
        <v>10</v>
      </c>
      <c r="N452" s="5">
        <v>75</v>
      </c>
      <c r="O452" s="5">
        <v>37600</v>
      </c>
      <c r="P452" s="5" t="s">
        <v>48</v>
      </c>
      <c r="Q452" s="5"/>
      <c r="R452" s="5">
        <v>2</v>
      </c>
      <c r="S452" s="5">
        <v>800</v>
      </c>
      <c r="T452" s="5">
        <v>530</v>
      </c>
      <c r="U452" s="5">
        <v>800</v>
      </c>
      <c r="V452" s="5">
        <v>2.8</v>
      </c>
      <c r="W452" s="5" t="s">
        <v>10</v>
      </c>
      <c r="X452" s="5">
        <v>48</v>
      </c>
      <c r="Y452" s="5">
        <v>536</v>
      </c>
      <c r="Z452" s="5" t="s">
        <v>48</v>
      </c>
      <c r="AA452" s="5" t="s">
        <v>68</v>
      </c>
      <c r="AB452" s="5"/>
      <c r="AC452" s="5"/>
      <c r="AD452" s="5"/>
      <c r="AE452" s="5"/>
      <c r="AF452" s="5" t="s">
        <v>68</v>
      </c>
      <c r="AG452" s="5"/>
      <c r="AH452" s="16">
        <v>8397</v>
      </c>
      <c r="AI452" s="16"/>
      <c r="AJ452" s="16"/>
      <c r="AK452" s="16"/>
      <c r="AL452" s="16"/>
      <c r="AM452" s="16">
        <f>AH452</f>
        <v>8397</v>
      </c>
      <c r="AN452" s="5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</row>
    <row r="453" spans="1:240" ht="30" customHeight="1">
      <c r="A453" s="5">
        <v>451</v>
      </c>
      <c r="B453" s="5" t="s">
        <v>68</v>
      </c>
      <c r="C453" s="5"/>
      <c r="D453" s="5"/>
      <c r="E453" s="5">
        <v>4890</v>
      </c>
      <c r="F453" s="5">
        <v>1185</v>
      </c>
      <c r="G453" s="5">
        <v>1660</v>
      </c>
      <c r="H453" s="5">
        <v>949</v>
      </c>
      <c r="I453" s="5" t="s">
        <v>17</v>
      </c>
      <c r="J453" s="5">
        <v>48.1</v>
      </c>
      <c r="K453" s="30">
        <v>5</v>
      </c>
      <c r="L453" s="5">
        <v>254</v>
      </c>
      <c r="M453" s="31">
        <v>10</v>
      </c>
      <c r="N453" s="5">
        <v>72</v>
      </c>
      <c r="O453" s="5">
        <v>75200</v>
      </c>
      <c r="P453" s="5" t="s">
        <v>48</v>
      </c>
      <c r="Q453" s="5"/>
      <c r="R453" s="5">
        <v>4</v>
      </c>
      <c r="S453" s="5">
        <v>800</v>
      </c>
      <c r="T453" s="5">
        <v>530</v>
      </c>
      <c r="U453" s="5">
        <v>800</v>
      </c>
      <c r="V453" s="5">
        <v>5.5</v>
      </c>
      <c r="W453" s="5" t="s">
        <v>10</v>
      </c>
      <c r="X453" s="5">
        <v>51</v>
      </c>
      <c r="Y453" s="5">
        <v>1072</v>
      </c>
      <c r="Z453" s="5" t="s">
        <v>48</v>
      </c>
      <c r="AA453" s="5" t="s">
        <v>68</v>
      </c>
      <c r="AB453" s="5"/>
      <c r="AC453" s="5"/>
      <c r="AD453" s="5"/>
      <c r="AE453" s="5"/>
      <c r="AF453" s="5" t="s">
        <v>68</v>
      </c>
      <c r="AG453" s="5"/>
      <c r="AH453" s="5" t="s">
        <v>48</v>
      </c>
      <c r="AI453" s="5"/>
      <c r="AJ453" s="5"/>
      <c r="AK453" s="5"/>
      <c r="AL453" s="5"/>
      <c r="AM453" s="5"/>
      <c r="AN453" s="5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</row>
    <row r="454" spans="1:240" ht="30" customHeight="1">
      <c r="A454" s="5">
        <v>452</v>
      </c>
      <c r="B454" s="5" t="s">
        <v>68</v>
      </c>
      <c r="C454" s="5"/>
      <c r="D454" s="5"/>
      <c r="E454" s="5">
        <v>7290</v>
      </c>
      <c r="F454" s="5">
        <v>1185</v>
      </c>
      <c r="G454" s="5">
        <v>1660</v>
      </c>
      <c r="H454" s="5">
        <v>1387</v>
      </c>
      <c r="I454" s="5" t="s">
        <v>17</v>
      </c>
      <c r="J454" s="5">
        <v>71.099999999999994</v>
      </c>
      <c r="K454" s="30">
        <v>5</v>
      </c>
      <c r="L454" s="5">
        <v>376</v>
      </c>
      <c r="M454" s="31">
        <v>10</v>
      </c>
      <c r="N454" s="5">
        <v>70</v>
      </c>
      <c r="O454" s="5">
        <v>112800</v>
      </c>
      <c r="P454" s="5" t="s">
        <v>48</v>
      </c>
      <c r="Q454" s="5"/>
      <c r="R454" s="5">
        <v>6</v>
      </c>
      <c r="S454" s="5">
        <v>800</v>
      </c>
      <c r="T454" s="5">
        <v>530</v>
      </c>
      <c r="U454" s="5">
        <v>800</v>
      </c>
      <c r="V454" s="5">
        <v>8.3000000000000007</v>
      </c>
      <c r="W454" s="5" t="s">
        <v>10</v>
      </c>
      <c r="X454" s="5">
        <v>52</v>
      </c>
      <c r="Y454" s="5">
        <v>1609</v>
      </c>
      <c r="Z454" s="5" t="s">
        <v>48</v>
      </c>
      <c r="AA454" s="5" t="s">
        <v>68</v>
      </c>
      <c r="AB454" s="5"/>
      <c r="AC454" s="5"/>
      <c r="AD454" s="5"/>
      <c r="AE454" s="5"/>
      <c r="AF454" s="5" t="s">
        <v>68</v>
      </c>
      <c r="AG454" s="5"/>
      <c r="AH454" s="5" t="s">
        <v>48</v>
      </c>
      <c r="AI454" s="5"/>
      <c r="AJ454" s="5"/>
      <c r="AK454" s="5"/>
      <c r="AL454" s="5"/>
      <c r="AM454" s="5"/>
      <c r="AN454" s="5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</row>
    <row r="455" spans="1:240" ht="30" customHeight="1">
      <c r="A455" s="5">
        <v>453</v>
      </c>
      <c r="B455" s="5" t="s">
        <v>68</v>
      </c>
      <c r="C455" s="5"/>
      <c r="D455" s="5"/>
      <c r="E455" s="5">
        <v>9690</v>
      </c>
      <c r="F455" s="5">
        <v>1185</v>
      </c>
      <c r="G455" s="5">
        <v>1660</v>
      </c>
      <c r="H455" s="5">
        <v>1829</v>
      </c>
      <c r="I455" s="5" t="s">
        <v>17</v>
      </c>
      <c r="J455" s="5">
        <v>83.9</v>
      </c>
      <c r="K455" s="30">
        <v>5</v>
      </c>
      <c r="L455" s="5">
        <v>445</v>
      </c>
      <c r="M455" s="31">
        <v>10</v>
      </c>
      <c r="N455" s="5">
        <v>19</v>
      </c>
      <c r="O455" s="5">
        <v>150400</v>
      </c>
      <c r="P455" s="5" t="s">
        <v>48</v>
      </c>
      <c r="Q455" s="5"/>
      <c r="R455" s="5">
        <v>8</v>
      </c>
      <c r="S455" s="5">
        <v>800</v>
      </c>
      <c r="T455" s="5">
        <v>530</v>
      </c>
      <c r="U455" s="5">
        <v>800</v>
      </c>
      <c r="V455" s="5">
        <v>11</v>
      </c>
      <c r="W455" s="5" t="s">
        <v>10</v>
      </c>
      <c r="X455" s="5">
        <v>53</v>
      </c>
      <c r="Y455" s="5">
        <v>2145</v>
      </c>
      <c r="Z455" s="5" t="s">
        <v>48</v>
      </c>
      <c r="AA455" s="5" t="s">
        <v>68</v>
      </c>
      <c r="AB455" s="5"/>
      <c r="AC455" s="5"/>
      <c r="AD455" s="5"/>
      <c r="AE455" s="5"/>
      <c r="AF455" s="5" t="s">
        <v>68</v>
      </c>
      <c r="AG455" s="5"/>
      <c r="AH455" s="5" t="s">
        <v>48</v>
      </c>
      <c r="AI455" s="5"/>
      <c r="AJ455" s="5"/>
      <c r="AK455" s="5"/>
      <c r="AL455" s="5"/>
      <c r="AM455" s="5"/>
      <c r="AN455" s="5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</row>
    <row r="456" spans="1:240" ht="30" customHeight="1">
      <c r="A456" s="5">
        <v>454</v>
      </c>
      <c r="B456" s="5" t="s">
        <v>68</v>
      </c>
      <c r="C456" s="5"/>
      <c r="D456" s="5"/>
      <c r="E456" s="5">
        <v>2490</v>
      </c>
      <c r="F456" s="5">
        <v>1185</v>
      </c>
      <c r="G456" s="5">
        <v>1720</v>
      </c>
      <c r="H456" s="5">
        <v>537</v>
      </c>
      <c r="I456" s="5" t="s">
        <v>17</v>
      </c>
      <c r="J456" s="5">
        <v>29</v>
      </c>
      <c r="K456" s="30">
        <v>5</v>
      </c>
      <c r="L456" s="5">
        <v>156</v>
      </c>
      <c r="M456" s="31">
        <v>10</v>
      </c>
      <c r="N456" s="5">
        <v>37</v>
      </c>
      <c r="O456" s="5">
        <v>53000</v>
      </c>
      <c r="P456" s="5" t="s">
        <v>48</v>
      </c>
      <c r="Q456" s="5"/>
      <c r="R456" s="5">
        <v>2</v>
      </c>
      <c r="S456" s="5">
        <v>900</v>
      </c>
      <c r="T456" s="5">
        <v>550</v>
      </c>
      <c r="U456" s="5">
        <v>770</v>
      </c>
      <c r="V456" s="5">
        <v>5.4</v>
      </c>
      <c r="W456" s="5" t="s">
        <v>10</v>
      </c>
      <c r="X456" s="5">
        <v>57</v>
      </c>
      <c r="Y456" s="5">
        <v>536</v>
      </c>
      <c r="Z456" s="5" t="s">
        <v>48</v>
      </c>
      <c r="AA456" s="5" t="s">
        <v>68</v>
      </c>
      <c r="AB456" s="5"/>
      <c r="AC456" s="5"/>
      <c r="AD456" s="5"/>
      <c r="AE456" s="5"/>
      <c r="AF456" s="5" t="s">
        <v>68</v>
      </c>
      <c r="AG456" s="5"/>
      <c r="AH456" s="5" t="s">
        <v>48</v>
      </c>
      <c r="AI456" s="5"/>
      <c r="AJ456" s="5"/>
      <c r="AK456" s="5"/>
      <c r="AL456" s="5"/>
      <c r="AM456" s="5"/>
      <c r="AN456" s="5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</row>
    <row r="457" spans="1:240" ht="30" customHeight="1">
      <c r="A457" s="5">
        <v>455</v>
      </c>
      <c r="B457" s="5" t="s">
        <v>68</v>
      </c>
      <c r="C457" s="5"/>
      <c r="D457" s="5"/>
      <c r="E457" s="5">
        <v>4890</v>
      </c>
      <c r="F457" s="5">
        <v>1185</v>
      </c>
      <c r="G457" s="5">
        <v>1720</v>
      </c>
      <c r="H457" s="5">
        <v>1015</v>
      </c>
      <c r="I457" s="5" t="s">
        <v>17</v>
      </c>
      <c r="J457" s="5">
        <v>57.1</v>
      </c>
      <c r="K457" s="30">
        <v>5</v>
      </c>
      <c r="L457" s="5">
        <v>307</v>
      </c>
      <c r="M457" s="31">
        <v>10</v>
      </c>
      <c r="N457" s="5">
        <v>34</v>
      </c>
      <c r="O457" s="5">
        <v>106000</v>
      </c>
      <c r="P457" s="5" t="s">
        <v>48</v>
      </c>
      <c r="Q457" s="5"/>
      <c r="R457" s="5">
        <v>4</v>
      </c>
      <c r="S457" s="5">
        <v>900</v>
      </c>
      <c r="T457" s="5">
        <v>550</v>
      </c>
      <c r="U457" s="5">
        <v>770</v>
      </c>
      <c r="V457" s="5">
        <v>10.8</v>
      </c>
      <c r="W457" s="5" t="s">
        <v>10</v>
      </c>
      <c r="X457" s="5">
        <v>60</v>
      </c>
      <c r="Y457" s="5">
        <v>1072</v>
      </c>
      <c r="Z457" s="5" t="s">
        <v>48</v>
      </c>
      <c r="AA457" s="5" t="s">
        <v>68</v>
      </c>
      <c r="AB457" s="5"/>
      <c r="AC457" s="5"/>
      <c r="AD457" s="5"/>
      <c r="AE457" s="5"/>
      <c r="AF457" s="5" t="s">
        <v>68</v>
      </c>
      <c r="AG457" s="5"/>
      <c r="AH457" s="5" t="s">
        <v>48</v>
      </c>
      <c r="AI457" s="5"/>
      <c r="AJ457" s="5"/>
      <c r="AK457" s="5"/>
      <c r="AL457" s="5"/>
      <c r="AM457" s="5"/>
      <c r="AN457" s="5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</row>
    <row r="458" spans="1:240" ht="30" customHeight="1">
      <c r="A458" s="5">
        <v>456</v>
      </c>
      <c r="B458" s="5" t="s">
        <v>68</v>
      </c>
      <c r="C458" s="5"/>
      <c r="D458" s="5"/>
      <c r="E458" s="5">
        <v>7290</v>
      </c>
      <c r="F458" s="5">
        <v>1185</v>
      </c>
      <c r="G458" s="5">
        <v>1720</v>
      </c>
      <c r="H458" s="5">
        <v>1486</v>
      </c>
      <c r="I458" s="5" t="s">
        <v>17</v>
      </c>
      <c r="J458" s="5">
        <v>90.3</v>
      </c>
      <c r="K458" s="30">
        <v>5</v>
      </c>
      <c r="L458" s="5">
        <v>485</v>
      </c>
      <c r="M458" s="31">
        <v>10</v>
      </c>
      <c r="N458" s="5">
        <v>110</v>
      </c>
      <c r="O458" s="5">
        <v>159000</v>
      </c>
      <c r="P458" s="5" t="s">
        <v>48</v>
      </c>
      <c r="Q458" s="5"/>
      <c r="R458" s="5">
        <v>6</v>
      </c>
      <c r="S458" s="5">
        <v>900</v>
      </c>
      <c r="T458" s="5">
        <v>550</v>
      </c>
      <c r="U458" s="5">
        <v>770</v>
      </c>
      <c r="V458" s="5">
        <v>16.2</v>
      </c>
      <c r="W458" s="5" t="s">
        <v>10</v>
      </c>
      <c r="X458" s="5">
        <v>61</v>
      </c>
      <c r="Y458" s="5">
        <v>1609</v>
      </c>
      <c r="Z458" s="5" t="s">
        <v>48</v>
      </c>
      <c r="AA458" s="5" t="s">
        <v>68</v>
      </c>
      <c r="AB458" s="5"/>
      <c r="AC458" s="5"/>
      <c r="AD458" s="5"/>
      <c r="AE458" s="5"/>
      <c r="AF458" s="5" t="s">
        <v>68</v>
      </c>
      <c r="AG458" s="5"/>
      <c r="AH458" s="16">
        <f>34621*0.7705</f>
        <v>26675.480499999998</v>
      </c>
      <c r="AI458" s="5"/>
      <c r="AJ458" s="5"/>
      <c r="AK458" s="5"/>
      <c r="AL458" s="5"/>
      <c r="AM458" s="16">
        <f>AH458</f>
        <v>26675.480499999998</v>
      </c>
      <c r="AN458" s="5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</row>
    <row r="459" spans="1:240" ht="30" customHeight="1">
      <c r="A459" s="5">
        <v>457</v>
      </c>
      <c r="B459" s="5" t="s">
        <v>68</v>
      </c>
      <c r="C459" s="5"/>
      <c r="D459" s="5"/>
      <c r="E459" s="5">
        <v>9690</v>
      </c>
      <c r="F459" s="5">
        <v>1185</v>
      </c>
      <c r="G459" s="5">
        <v>1720</v>
      </c>
      <c r="H459" s="5">
        <v>1970</v>
      </c>
      <c r="I459" s="5" t="s">
        <v>17</v>
      </c>
      <c r="J459" s="5">
        <v>107.7</v>
      </c>
      <c r="K459" s="30">
        <v>5</v>
      </c>
      <c r="L459" s="5">
        <v>578</v>
      </c>
      <c r="M459" s="31">
        <v>10</v>
      </c>
      <c r="N459" s="5">
        <v>30</v>
      </c>
      <c r="O459" s="5">
        <v>212000</v>
      </c>
      <c r="P459" s="5" t="s">
        <v>48</v>
      </c>
      <c r="Q459" s="5"/>
      <c r="R459" s="5">
        <v>8</v>
      </c>
      <c r="S459" s="5">
        <v>900</v>
      </c>
      <c r="T459" s="5">
        <v>550</v>
      </c>
      <c r="U459" s="5">
        <v>770</v>
      </c>
      <c r="V459" s="5">
        <v>21.6</v>
      </c>
      <c r="W459" s="5" t="s">
        <v>10</v>
      </c>
      <c r="X459" s="5">
        <v>62</v>
      </c>
      <c r="Y459" s="5">
        <v>2145</v>
      </c>
      <c r="Z459" s="5" t="s">
        <v>48</v>
      </c>
      <c r="AA459" s="5" t="s">
        <v>68</v>
      </c>
      <c r="AB459" s="5"/>
      <c r="AC459" s="5"/>
      <c r="AD459" s="5"/>
      <c r="AE459" s="5"/>
      <c r="AF459" s="5" t="s">
        <v>68</v>
      </c>
      <c r="AG459" s="5"/>
      <c r="AH459" s="5" t="s">
        <v>48</v>
      </c>
      <c r="AI459" s="5"/>
      <c r="AJ459" s="5"/>
      <c r="AK459" s="5"/>
      <c r="AL459" s="5"/>
      <c r="AM459" s="5"/>
      <c r="AN459" s="5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</row>
    <row r="460" spans="1:240" ht="30" customHeight="1">
      <c r="A460" s="5">
        <v>458</v>
      </c>
      <c r="B460" s="5" t="s">
        <v>68</v>
      </c>
      <c r="C460" s="5"/>
      <c r="D460" s="5"/>
      <c r="E460" s="5">
        <v>2844</v>
      </c>
      <c r="F460" s="5">
        <v>2383</v>
      </c>
      <c r="G460" s="5">
        <v>2500</v>
      </c>
      <c r="H460" s="5">
        <v>1064</v>
      </c>
      <c r="I460" s="5" t="s">
        <v>17</v>
      </c>
      <c r="J460" s="5">
        <v>67.2</v>
      </c>
      <c r="K460" s="30">
        <v>5</v>
      </c>
      <c r="L460" s="5">
        <v>359</v>
      </c>
      <c r="M460" s="31">
        <v>10</v>
      </c>
      <c r="N460" s="5">
        <v>40</v>
      </c>
      <c r="O460" s="5">
        <v>120400</v>
      </c>
      <c r="P460" s="5" t="s">
        <v>48</v>
      </c>
      <c r="Q460" s="5"/>
      <c r="R460" s="5">
        <v>4</v>
      </c>
      <c r="S460" s="5">
        <v>900</v>
      </c>
      <c r="T460" s="5" t="s">
        <v>48</v>
      </c>
      <c r="U460" s="5" t="s">
        <v>48</v>
      </c>
      <c r="V460" s="5">
        <v>13</v>
      </c>
      <c r="W460" s="5" t="s">
        <v>21</v>
      </c>
      <c r="X460" s="5">
        <v>63</v>
      </c>
      <c r="Y460" s="5" t="s">
        <v>48</v>
      </c>
      <c r="Z460" s="5">
        <v>182</v>
      </c>
      <c r="AA460" s="5" t="s">
        <v>68</v>
      </c>
      <c r="AB460" s="5" t="s">
        <v>68</v>
      </c>
      <c r="AC460" s="5"/>
      <c r="AD460" s="5"/>
      <c r="AE460" s="5"/>
      <c r="AF460" s="5" t="s">
        <v>68</v>
      </c>
      <c r="AG460" s="5"/>
      <c r="AH460" s="5" t="s">
        <v>48</v>
      </c>
      <c r="AI460" s="5"/>
      <c r="AJ460" s="5"/>
      <c r="AK460" s="5"/>
      <c r="AL460" s="5"/>
      <c r="AM460" s="5"/>
      <c r="AN460" s="5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</row>
    <row r="461" spans="1:240" ht="30" customHeight="1">
      <c r="A461" s="5">
        <v>459</v>
      </c>
      <c r="B461" s="5" t="s">
        <v>68</v>
      </c>
      <c r="C461" s="5"/>
      <c r="D461" s="5"/>
      <c r="E461" s="5">
        <v>2844</v>
      </c>
      <c r="F461" s="5">
        <v>2383</v>
      </c>
      <c r="G461" s="5">
        <v>2500</v>
      </c>
      <c r="H461" s="5">
        <v>1166</v>
      </c>
      <c r="I461" s="5" t="s">
        <v>17</v>
      </c>
      <c r="J461" s="5">
        <v>74</v>
      </c>
      <c r="K461" s="30">
        <v>5</v>
      </c>
      <c r="L461" s="5">
        <v>395</v>
      </c>
      <c r="M461" s="31">
        <v>10</v>
      </c>
      <c r="N461" s="5">
        <v>31</v>
      </c>
      <c r="O461" s="5">
        <v>114400</v>
      </c>
      <c r="P461" s="5" t="s">
        <v>48</v>
      </c>
      <c r="Q461" s="5"/>
      <c r="R461" s="5">
        <v>4</v>
      </c>
      <c r="S461" s="5">
        <v>900</v>
      </c>
      <c r="T461" s="5" t="s">
        <v>48</v>
      </c>
      <c r="U461" s="5" t="s">
        <v>48</v>
      </c>
      <c r="V461" s="5">
        <v>13</v>
      </c>
      <c r="W461" s="5" t="s">
        <v>21</v>
      </c>
      <c r="X461" s="5">
        <v>63</v>
      </c>
      <c r="Y461" s="5" t="s">
        <v>48</v>
      </c>
      <c r="Z461" s="5">
        <v>218</v>
      </c>
      <c r="AA461" s="5" t="s">
        <v>68</v>
      </c>
      <c r="AB461" s="5" t="s">
        <v>68</v>
      </c>
      <c r="AC461" s="5"/>
      <c r="AD461" s="5"/>
      <c r="AE461" s="5"/>
      <c r="AF461" s="5" t="s">
        <v>68</v>
      </c>
      <c r="AG461" s="5"/>
      <c r="AH461" s="5" t="s">
        <v>48</v>
      </c>
      <c r="AI461" s="5"/>
      <c r="AJ461" s="5"/>
      <c r="AK461" s="5"/>
      <c r="AL461" s="5"/>
      <c r="AM461" s="5"/>
      <c r="AN461" s="5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</row>
    <row r="462" spans="1:240" ht="30" customHeight="1">
      <c r="A462" s="5">
        <v>460</v>
      </c>
      <c r="B462" s="5" t="s">
        <v>68</v>
      </c>
      <c r="C462" s="5"/>
      <c r="D462" s="5"/>
      <c r="E462" s="5">
        <v>4266</v>
      </c>
      <c r="F462" s="5">
        <v>2383</v>
      </c>
      <c r="G462" s="5">
        <v>2500</v>
      </c>
      <c r="H462" s="5">
        <v>1533</v>
      </c>
      <c r="I462" s="5" t="s">
        <v>17</v>
      </c>
      <c r="J462" s="5">
        <v>101.7</v>
      </c>
      <c r="K462" s="30">
        <v>5</v>
      </c>
      <c r="L462" s="14">
        <v>544</v>
      </c>
      <c r="M462" s="31">
        <v>10</v>
      </c>
      <c r="N462" s="5">
        <v>46</v>
      </c>
      <c r="O462" s="5">
        <v>180600</v>
      </c>
      <c r="P462" s="5" t="s">
        <v>48</v>
      </c>
      <c r="Q462" s="5"/>
      <c r="R462" s="5">
        <v>6</v>
      </c>
      <c r="S462" s="5">
        <v>900</v>
      </c>
      <c r="T462" s="5" t="s">
        <v>48</v>
      </c>
      <c r="U462" s="5" t="s">
        <v>48</v>
      </c>
      <c r="V462" s="5">
        <v>19.5</v>
      </c>
      <c r="W462" s="5" t="s">
        <v>21</v>
      </c>
      <c r="X462" s="5">
        <v>65</v>
      </c>
      <c r="Y462" s="5" t="s">
        <v>48</v>
      </c>
      <c r="Z462" s="5">
        <v>236</v>
      </c>
      <c r="AA462" s="5" t="s">
        <v>68</v>
      </c>
      <c r="AB462" s="5" t="s">
        <v>68</v>
      </c>
      <c r="AC462" s="5"/>
      <c r="AD462" s="5"/>
      <c r="AE462" s="5"/>
      <c r="AF462" s="5" t="s">
        <v>68</v>
      </c>
      <c r="AG462" s="5"/>
      <c r="AH462" s="5" t="s">
        <v>48</v>
      </c>
      <c r="AI462" s="5"/>
      <c r="AJ462" s="5"/>
      <c r="AK462" s="5"/>
      <c r="AL462" s="5"/>
      <c r="AM462" s="5"/>
      <c r="AN462" s="5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</row>
    <row r="463" spans="1:240" ht="30" customHeight="1">
      <c r="A463" s="5">
        <v>461</v>
      </c>
      <c r="B463" s="5" t="s">
        <v>68</v>
      </c>
      <c r="C463" s="5"/>
      <c r="D463" s="5"/>
      <c r="E463" s="5">
        <v>4266</v>
      </c>
      <c r="F463" s="5">
        <v>2383</v>
      </c>
      <c r="G463" s="5">
        <v>2500</v>
      </c>
      <c r="H463" s="5">
        <v>1685</v>
      </c>
      <c r="I463" s="5" t="s">
        <v>17</v>
      </c>
      <c r="J463" s="5">
        <v>111.9</v>
      </c>
      <c r="K463" s="30">
        <v>5</v>
      </c>
      <c r="L463" s="5">
        <v>599</v>
      </c>
      <c r="M463" s="31">
        <v>10</v>
      </c>
      <c r="N463" s="5">
        <v>41</v>
      </c>
      <c r="O463" s="5">
        <v>171600</v>
      </c>
      <c r="P463" s="5" t="s">
        <v>48</v>
      </c>
      <c r="Q463" s="5"/>
      <c r="R463" s="5">
        <v>6</v>
      </c>
      <c r="S463" s="5">
        <v>900</v>
      </c>
      <c r="T463" s="5" t="s">
        <v>48</v>
      </c>
      <c r="U463" s="5" t="s">
        <v>48</v>
      </c>
      <c r="V463" s="5">
        <v>19.5</v>
      </c>
      <c r="W463" s="5" t="s">
        <v>21</v>
      </c>
      <c r="X463" s="5">
        <v>65</v>
      </c>
      <c r="Y463" s="5" t="s">
        <v>48</v>
      </c>
      <c r="Z463" s="5">
        <v>290</v>
      </c>
      <c r="AA463" s="5" t="s">
        <v>68</v>
      </c>
      <c r="AB463" s="5" t="s">
        <v>68</v>
      </c>
      <c r="AC463" s="5"/>
      <c r="AD463" s="5"/>
      <c r="AE463" s="5"/>
      <c r="AF463" s="5" t="s">
        <v>68</v>
      </c>
      <c r="AG463" s="5"/>
      <c r="AH463" s="5" t="s">
        <v>48</v>
      </c>
      <c r="AI463" s="5"/>
      <c r="AJ463" s="5"/>
      <c r="AK463" s="5"/>
      <c r="AL463" s="5"/>
      <c r="AM463" s="5"/>
      <c r="AN463" s="5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</row>
    <row r="464" spans="1:240" ht="30" customHeight="1">
      <c r="A464" s="5">
        <v>462</v>
      </c>
      <c r="B464" s="5" t="s">
        <v>68</v>
      </c>
      <c r="C464" s="5"/>
      <c r="D464" s="5"/>
      <c r="E464" s="5">
        <v>5688</v>
      </c>
      <c r="F464" s="5">
        <v>2383</v>
      </c>
      <c r="G464" s="5">
        <v>2500</v>
      </c>
      <c r="H464" s="5">
        <v>1881</v>
      </c>
      <c r="I464" s="5" t="s">
        <v>17</v>
      </c>
      <c r="J464" s="5">
        <v>138</v>
      </c>
      <c r="K464" s="30">
        <v>5</v>
      </c>
      <c r="L464" s="5">
        <v>738</v>
      </c>
      <c r="M464" s="31">
        <v>10</v>
      </c>
      <c r="N464" s="5">
        <v>98</v>
      </c>
      <c r="O464" s="5">
        <v>240800</v>
      </c>
      <c r="P464" s="5" t="s">
        <v>48</v>
      </c>
      <c r="Q464" s="5"/>
      <c r="R464" s="5">
        <v>8</v>
      </c>
      <c r="S464" s="5">
        <v>900</v>
      </c>
      <c r="T464" s="5" t="s">
        <v>48</v>
      </c>
      <c r="U464" s="5" t="s">
        <v>48</v>
      </c>
      <c r="V464" s="5">
        <v>26</v>
      </c>
      <c r="W464" s="5" t="s">
        <v>21</v>
      </c>
      <c r="X464" s="5">
        <v>66</v>
      </c>
      <c r="Y464" s="5" t="s">
        <v>48</v>
      </c>
      <c r="Z464" s="5">
        <v>288</v>
      </c>
      <c r="AA464" s="5" t="s">
        <v>68</v>
      </c>
      <c r="AB464" s="5" t="s">
        <v>68</v>
      </c>
      <c r="AC464" s="5"/>
      <c r="AD464" s="5"/>
      <c r="AE464" s="5"/>
      <c r="AF464" s="5" t="s">
        <v>68</v>
      </c>
      <c r="AG464" s="5"/>
      <c r="AH464" s="5" t="s">
        <v>48</v>
      </c>
      <c r="AI464" s="5"/>
      <c r="AJ464" s="5"/>
      <c r="AK464" s="5"/>
      <c r="AL464" s="5"/>
      <c r="AM464" s="5"/>
      <c r="AN464" s="5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</row>
    <row r="465" spans="1:240" ht="30" customHeight="1">
      <c r="A465" s="5">
        <v>463</v>
      </c>
      <c r="B465" s="5" t="s">
        <v>68</v>
      </c>
      <c r="C465" s="5"/>
      <c r="D465" s="5"/>
      <c r="E465" s="5">
        <v>5688</v>
      </c>
      <c r="F465" s="5">
        <v>2383</v>
      </c>
      <c r="G465" s="5">
        <v>2500</v>
      </c>
      <c r="H465" s="5">
        <v>2083</v>
      </c>
      <c r="I465" s="5" t="s">
        <v>17</v>
      </c>
      <c r="J465" s="5">
        <v>151.5</v>
      </c>
      <c r="K465" s="30">
        <v>5</v>
      </c>
      <c r="L465" s="5">
        <v>810</v>
      </c>
      <c r="M465" s="31">
        <v>10</v>
      </c>
      <c r="N465" s="5">
        <v>59</v>
      </c>
      <c r="O465" s="5">
        <v>228800</v>
      </c>
      <c r="P465" s="5" t="s">
        <v>48</v>
      </c>
      <c r="Q465" s="5"/>
      <c r="R465" s="5">
        <v>8</v>
      </c>
      <c r="S465" s="5">
        <v>900</v>
      </c>
      <c r="T465" s="5" t="s">
        <v>48</v>
      </c>
      <c r="U465" s="5" t="s">
        <v>48</v>
      </c>
      <c r="V465" s="5">
        <v>26</v>
      </c>
      <c r="W465" s="5" t="s">
        <v>21</v>
      </c>
      <c r="X465" s="5">
        <v>66</v>
      </c>
      <c r="Y465" s="5" t="s">
        <v>48</v>
      </c>
      <c r="Z465" s="5">
        <v>362</v>
      </c>
      <c r="AA465" s="5" t="s">
        <v>68</v>
      </c>
      <c r="AB465" s="5" t="s">
        <v>68</v>
      </c>
      <c r="AC465" s="5"/>
      <c r="AD465" s="5"/>
      <c r="AE465" s="5"/>
      <c r="AF465" s="5" t="s">
        <v>68</v>
      </c>
      <c r="AG465" s="5"/>
      <c r="AH465" s="5" t="s">
        <v>48</v>
      </c>
      <c r="AI465" s="5"/>
      <c r="AJ465" s="5"/>
      <c r="AK465" s="5"/>
      <c r="AL465" s="5"/>
      <c r="AM465" s="5"/>
      <c r="AN465" s="5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</row>
    <row r="466" spans="1:240" ht="30" customHeight="1">
      <c r="A466" s="5">
        <v>464</v>
      </c>
      <c r="B466" s="5" t="s">
        <v>68</v>
      </c>
      <c r="C466" s="5"/>
      <c r="D466" s="5"/>
      <c r="E466" s="5">
        <v>7110</v>
      </c>
      <c r="F466" s="5">
        <v>2383</v>
      </c>
      <c r="G466" s="5">
        <v>2500</v>
      </c>
      <c r="H466" s="5">
        <v>2233</v>
      </c>
      <c r="I466" s="5" t="s">
        <v>17</v>
      </c>
      <c r="J466" s="5">
        <v>167.1</v>
      </c>
      <c r="K466" s="30">
        <v>5</v>
      </c>
      <c r="L466" s="5">
        <v>894</v>
      </c>
      <c r="M466" s="31">
        <v>10</v>
      </c>
      <c r="N466" s="5">
        <v>28</v>
      </c>
      <c r="O466" s="5">
        <v>301000</v>
      </c>
      <c r="P466" s="5" t="s">
        <v>48</v>
      </c>
      <c r="Q466" s="5"/>
      <c r="R466" s="5">
        <v>10</v>
      </c>
      <c r="S466" s="5">
        <v>900</v>
      </c>
      <c r="T466" s="5" t="s">
        <v>48</v>
      </c>
      <c r="U466" s="5" t="s">
        <v>48</v>
      </c>
      <c r="V466" s="5">
        <v>32.5</v>
      </c>
      <c r="W466" s="5" t="s">
        <v>21</v>
      </c>
      <c r="X466" s="5">
        <v>67</v>
      </c>
      <c r="Y466" s="5" t="s">
        <v>48</v>
      </c>
      <c r="Z466" s="5">
        <v>342</v>
      </c>
      <c r="AA466" s="5" t="s">
        <v>68</v>
      </c>
      <c r="AB466" s="5" t="s">
        <v>68</v>
      </c>
      <c r="AC466" s="5"/>
      <c r="AD466" s="5"/>
      <c r="AE466" s="5"/>
      <c r="AF466" s="5" t="s">
        <v>68</v>
      </c>
      <c r="AG466" s="5"/>
      <c r="AH466" s="5" t="s">
        <v>48</v>
      </c>
      <c r="AI466" s="5"/>
      <c r="AJ466" s="5"/>
      <c r="AK466" s="5"/>
      <c r="AL466" s="5"/>
      <c r="AM466" s="5"/>
      <c r="AN466" s="5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</row>
    <row r="467" spans="1:240" ht="30" customHeight="1">
      <c r="A467" s="5">
        <v>465</v>
      </c>
      <c r="B467" s="5" t="s">
        <v>68</v>
      </c>
      <c r="C467" s="5"/>
      <c r="D467" s="5"/>
      <c r="E467" s="5">
        <v>2844</v>
      </c>
      <c r="F467" s="5">
        <v>2383</v>
      </c>
      <c r="G467" s="5">
        <v>2500</v>
      </c>
      <c r="H467" s="5">
        <v>1064</v>
      </c>
      <c r="I467" s="5" t="s">
        <v>17</v>
      </c>
      <c r="J467" s="5">
        <v>61.4</v>
      </c>
      <c r="K467" s="30">
        <v>5</v>
      </c>
      <c r="L467" s="5">
        <v>328</v>
      </c>
      <c r="M467" s="31">
        <v>10</v>
      </c>
      <c r="N467" s="5">
        <v>34</v>
      </c>
      <c r="O467" s="5">
        <v>104400</v>
      </c>
      <c r="P467" s="5" t="s">
        <v>48</v>
      </c>
      <c r="Q467" s="5"/>
      <c r="R467" s="5">
        <v>4</v>
      </c>
      <c r="S467" s="5">
        <v>900</v>
      </c>
      <c r="T467" s="5" t="s">
        <v>48</v>
      </c>
      <c r="U467" s="5" t="s">
        <v>48</v>
      </c>
      <c r="V467" s="5">
        <v>9</v>
      </c>
      <c r="W467" s="5" t="s">
        <v>21</v>
      </c>
      <c r="X467" s="5">
        <v>57</v>
      </c>
      <c r="Y467" s="5" t="s">
        <v>48</v>
      </c>
      <c r="Z467" s="5">
        <v>182</v>
      </c>
      <c r="AA467" s="5" t="s">
        <v>68</v>
      </c>
      <c r="AB467" s="5" t="s">
        <v>68</v>
      </c>
      <c r="AC467" s="5"/>
      <c r="AD467" s="5"/>
      <c r="AE467" s="5"/>
      <c r="AF467" s="5" t="s">
        <v>68</v>
      </c>
      <c r="AG467" s="5"/>
      <c r="AH467" s="5" t="s">
        <v>48</v>
      </c>
      <c r="AI467" s="5"/>
      <c r="AJ467" s="5"/>
      <c r="AK467" s="5"/>
      <c r="AL467" s="5"/>
      <c r="AM467" s="5"/>
      <c r="AN467" s="5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</row>
    <row r="468" spans="1:240" ht="30" customHeight="1">
      <c r="A468" s="5">
        <v>466</v>
      </c>
      <c r="B468" s="5" t="s">
        <v>68</v>
      </c>
      <c r="C468" s="5"/>
      <c r="D468" s="5"/>
      <c r="E468" s="5">
        <v>2844</v>
      </c>
      <c r="F468" s="5">
        <v>2383</v>
      </c>
      <c r="G468" s="5">
        <v>2500</v>
      </c>
      <c r="H468" s="5">
        <v>1166</v>
      </c>
      <c r="I468" s="5" t="s">
        <v>17</v>
      </c>
      <c r="J468" s="5">
        <v>66.7</v>
      </c>
      <c r="K468" s="30">
        <v>5</v>
      </c>
      <c r="L468" s="5">
        <v>357</v>
      </c>
      <c r="M468" s="31">
        <v>10</v>
      </c>
      <c r="N468" s="5">
        <v>26</v>
      </c>
      <c r="O468" s="5">
        <v>99600</v>
      </c>
      <c r="P468" s="5" t="s">
        <v>48</v>
      </c>
      <c r="Q468" s="5"/>
      <c r="R468" s="5">
        <v>4</v>
      </c>
      <c r="S468" s="5">
        <v>900</v>
      </c>
      <c r="T468" s="5" t="s">
        <v>48</v>
      </c>
      <c r="U468" s="5" t="s">
        <v>48</v>
      </c>
      <c r="V468" s="5">
        <v>9</v>
      </c>
      <c r="W468" s="5" t="s">
        <v>21</v>
      </c>
      <c r="X468" s="5">
        <v>57</v>
      </c>
      <c r="Y468" s="5" t="s">
        <v>48</v>
      </c>
      <c r="Z468" s="5">
        <v>218</v>
      </c>
      <c r="AA468" s="5" t="s">
        <v>68</v>
      </c>
      <c r="AB468" s="5" t="s">
        <v>68</v>
      </c>
      <c r="AC468" s="5"/>
      <c r="AD468" s="5"/>
      <c r="AE468" s="5"/>
      <c r="AF468" s="5" t="s">
        <v>68</v>
      </c>
      <c r="AG468" s="5"/>
      <c r="AH468" s="5" t="s">
        <v>48</v>
      </c>
      <c r="AI468" s="5"/>
      <c r="AJ468" s="5"/>
      <c r="AK468" s="5"/>
      <c r="AL468" s="5"/>
      <c r="AM468" s="5"/>
      <c r="AN468" s="5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</row>
    <row r="469" spans="1:240" ht="30" customHeight="1">
      <c r="A469" s="5">
        <v>467</v>
      </c>
      <c r="B469" s="5" t="s">
        <v>68</v>
      </c>
      <c r="C469" s="5"/>
      <c r="D469" s="5"/>
      <c r="E469" s="5">
        <v>4266</v>
      </c>
      <c r="F469" s="5">
        <v>2383</v>
      </c>
      <c r="G469" s="5">
        <v>2500</v>
      </c>
      <c r="H469" s="5">
        <v>1533</v>
      </c>
      <c r="I469" s="5" t="s">
        <v>17</v>
      </c>
      <c r="J469" s="5">
        <v>93</v>
      </c>
      <c r="K469" s="30">
        <v>5</v>
      </c>
      <c r="L469" s="5">
        <v>497</v>
      </c>
      <c r="M469" s="31">
        <v>10</v>
      </c>
      <c r="N469" s="5">
        <v>39</v>
      </c>
      <c r="O469" s="5">
        <v>156600</v>
      </c>
      <c r="P469" s="5" t="s">
        <v>48</v>
      </c>
      <c r="Q469" s="5"/>
      <c r="R469" s="5">
        <v>6</v>
      </c>
      <c r="S469" s="5">
        <v>900</v>
      </c>
      <c r="T469" s="5" t="s">
        <v>48</v>
      </c>
      <c r="U469" s="5" t="s">
        <v>48</v>
      </c>
      <c r="V469" s="5">
        <v>13.5</v>
      </c>
      <c r="W469" s="5" t="s">
        <v>21</v>
      </c>
      <c r="X469" s="5">
        <v>59</v>
      </c>
      <c r="Y469" s="5" t="s">
        <v>48</v>
      </c>
      <c r="Z469" s="5">
        <v>236</v>
      </c>
      <c r="AA469" s="5" t="s">
        <v>68</v>
      </c>
      <c r="AB469" s="5" t="s">
        <v>68</v>
      </c>
      <c r="AC469" s="5"/>
      <c r="AD469" s="5"/>
      <c r="AE469" s="5"/>
      <c r="AF469" s="5" t="s">
        <v>68</v>
      </c>
      <c r="AG469" s="5"/>
      <c r="AH469" s="5" t="s">
        <v>48</v>
      </c>
      <c r="AI469" s="5"/>
      <c r="AJ469" s="5"/>
      <c r="AK469" s="5"/>
      <c r="AL469" s="5"/>
      <c r="AM469" s="5"/>
      <c r="AN469" s="5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</row>
    <row r="470" spans="1:240" ht="30" customHeight="1">
      <c r="A470" s="5">
        <v>468</v>
      </c>
      <c r="B470" s="5" t="s">
        <v>68</v>
      </c>
      <c r="C470" s="5"/>
      <c r="D470" s="5"/>
      <c r="E470" s="5">
        <v>4266</v>
      </c>
      <c r="F470" s="5">
        <v>2383</v>
      </c>
      <c r="G470" s="5">
        <v>2500</v>
      </c>
      <c r="H470" s="5">
        <v>1685</v>
      </c>
      <c r="I470" s="5" t="s">
        <v>17</v>
      </c>
      <c r="J470" s="5">
        <v>101</v>
      </c>
      <c r="K470" s="30">
        <v>5</v>
      </c>
      <c r="L470" s="5">
        <v>540</v>
      </c>
      <c r="M470" s="31">
        <v>10</v>
      </c>
      <c r="N470" s="5">
        <v>34</v>
      </c>
      <c r="O470" s="5">
        <v>149400</v>
      </c>
      <c r="P470" s="5" t="s">
        <v>48</v>
      </c>
      <c r="Q470" s="5"/>
      <c r="R470" s="5">
        <v>6</v>
      </c>
      <c r="S470" s="5">
        <v>900</v>
      </c>
      <c r="T470" s="5" t="s">
        <v>48</v>
      </c>
      <c r="U470" s="5" t="s">
        <v>48</v>
      </c>
      <c r="V470" s="5">
        <v>13.5</v>
      </c>
      <c r="W470" s="5" t="s">
        <v>21</v>
      </c>
      <c r="X470" s="5">
        <v>59</v>
      </c>
      <c r="Y470" s="5" t="s">
        <v>48</v>
      </c>
      <c r="Z470" s="5">
        <v>290</v>
      </c>
      <c r="AA470" s="5" t="s">
        <v>68</v>
      </c>
      <c r="AB470" s="5" t="s">
        <v>68</v>
      </c>
      <c r="AC470" s="5"/>
      <c r="AD470" s="5"/>
      <c r="AE470" s="5"/>
      <c r="AF470" s="5" t="s">
        <v>68</v>
      </c>
      <c r="AG470" s="5"/>
      <c r="AH470" s="5" t="s">
        <v>48</v>
      </c>
      <c r="AI470" s="5"/>
      <c r="AJ470" s="5"/>
      <c r="AK470" s="5"/>
      <c r="AL470" s="5"/>
      <c r="AM470" s="5"/>
      <c r="AN470" s="5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</row>
    <row r="471" spans="1:240" ht="30" customHeight="1">
      <c r="A471" s="5">
        <v>469</v>
      </c>
      <c r="B471" s="5" t="s">
        <v>68</v>
      </c>
      <c r="C471" s="5"/>
      <c r="D471" s="5"/>
      <c r="E471" s="5">
        <v>5688</v>
      </c>
      <c r="F471" s="5">
        <v>2383</v>
      </c>
      <c r="G471" s="5">
        <v>2500</v>
      </c>
      <c r="H471" s="5">
        <v>1881</v>
      </c>
      <c r="I471" s="5" t="s">
        <v>17</v>
      </c>
      <c r="J471" s="5">
        <v>125.9</v>
      </c>
      <c r="K471" s="30">
        <v>5</v>
      </c>
      <c r="L471" s="5">
        <v>674</v>
      </c>
      <c r="M471" s="31">
        <v>10</v>
      </c>
      <c r="N471" s="5">
        <v>83</v>
      </c>
      <c r="O471" s="5">
        <v>208800</v>
      </c>
      <c r="P471" s="5" t="s">
        <v>48</v>
      </c>
      <c r="Q471" s="5"/>
      <c r="R471" s="5">
        <v>8</v>
      </c>
      <c r="S471" s="5">
        <v>900</v>
      </c>
      <c r="T471" s="5" t="s">
        <v>48</v>
      </c>
      <c r="U471" s="5" t="s">
        <v>48</v>
      </c>
      <c r="V471" s="5">
        <v>18</v>
      </c>
      <c r="W471" s="5" t="s">
        <v>21</v>
      </c>
      <c r="X471" s="5">
        <v>60</v>
      </c>
      <c r="Y471" s="5" t="s">
        <v>48</v>
      </c>
      <c r="Z471" s="5">
        <v>288</v>
      </c>
      <c r="AA471" s="5" t="s">
        <v>68</v>
      </c>
      <c r="AB471" s="5" t="s">
        <v>68</v>
      </c>
      <c r="AC471" s="5"/>
      <c r="AD471" s="5"/>
      <c r="AE471" s="5"/>
      <c r="AF471" s="5" t="s">
        <v>68</v>
      </c>
      <c r="AG471" s="5"/>
      <c r="AH471" s="5" t="s">
        <v>48</v>
      </c>
      <c r="AI471" s="5"/>
      <c r="AJ471" s="5"/>
      <c r="AK471" s="5"/>
      <c r="AL471" s="5"/>
      <c r="AM471" s="5"/>
      <c r="AN471" s="5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</row>
    <row r="472" spans="1:240" ht="30" customHeight="1">
      <c r="A472" s="5">
        <v>470</v>
      </c>
      <c r="B472" s="5" t="s">
        <v>68</v>
      </c>
      <c r="C472" s="5"/>
      <c r="D472" s="5"/>
      <c r="E472" s="5">
        <v>5688</v>
      </c>
      <c r="F472" s="5">
        <v>2383</v>
      </c>
      <c r="G472" s="5">
        <v>2500</v>
      </c>
      <c r="H472" s="5">
        <v>2083</v>
      </c>
      <c r="I472" s="5" t="s">
        <v>17</v>
      </c>
      <c r="J472" s="5">
        <v>136.69999999999999</v>
      </c>
      <c r="K472" s="30">
        <v>5</v>
      </c>
      <c r="L472" s="5">
        <v>731</v>
      </c>
      <c r="M472" s="31">
        <v>10</v>
      </c>
      <c r="N472" s="5">
        <v>49</v>
      </c>
      <c r="O472" s="5">
        <v>199200</v>
      </c>
      <c r="P472" s="5" t="s">
        <v>48</v>
      </c>
      <c r="Q472" s="5"/>
      <c r="R472" s="5">
        <v>8</v>
      </c>
      <c r="S472" s="5">
        <v>900</v>
      </c>
      <c r="T472" s="5" t="s">
        <v>48</v>
      </c>
      <c r="U472" s="5" t="s">
        <v>48</v>
      </c>
      <c r="V472" s="5">
        <v>18</v>
      </c>
      <c r="W472" s="5" t="s">
        <v>21</v>
      </c>
      <c r="X472" s="5">
        <v>60</v>
      </c>
      <c r="Y472" s="5" t="s">
        <v>48</v>
      </c>
      <c r="Z472" s="5">
        <v>362</v>
      </c>
      <c r="AA472" s="5" t="s">
        <v>68</v>
      </c>
      <c r="AB472" s="5" t="s">
        <v>68</v>
      </c>
      <c r="AC472" s="5"/>
      <c r="AD472" s="5"/>
      <c r="AE472" s="5"/>
      <c r="AF472" s="5" t="s">
        <v>68</v>
      </c>
      <c r="AG472" s="5"/>
      <c r="AH472" s="5" t="s">
        <v>48</v>
      </c>
      <c r="AI472" s="5"/>
      <c r="AJ472" s="5"/>
      <c r="AK472" s="5"/>
      <c r="AL472" s="5"/>
      <c r="AM472" s="5"/>
      <c r="AN472" s="5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</row>
    <row r="473" spans="1:240" ht="30" customHeight="1">
      <c r="A473" s="5">
        <v>471</v>
      </c>
      <c r="B473" s="5" t="s">
        <v>68</v>
      </c>
      <c r="C473" s="5"/>
      <c r="D473" s="5"/>
      <c r="E473" s="5">
        <v>7110</v>
      </c>
      <c r="F473" s="5">
        <v>2383</v>
      </c>
      <c r="G473" s="5">
        <v>2500</v>
      </c>
      <c r="H473" s="5">
        <v>2233</v>
      </c>
      <c r="I473" s="5" t="s">
        <v>17</v>
      </c>
      <c r="J473" s="5">
        <v>152.80000000000001</v>
      </c>
      <c r="K473" s="30">
        <v>5</v>
      </c>
      <c r="L473" s="5">
        <v>817</v>
      </c>
      <c r="M473" s="31">
        <v>10</v>
      </c>
      <c r="N473" s="5">
        <v>23</v>
      </c>
      <c r="O473" s="5">
        <v>261000</v>
      </c>
      <c r="P473" s="5" t="s">
        <v>48</v>
      </c>
      <c r="Q473" s="5"/>
      <c r="R473" s="5">
        <v>10</v>
      </c>
      <c r="S473" s="5">
        <v>900</v>
      </c>
      <c r="T473" s="5" t="s">
        <v>48</v>
      </c>
      <c r="U473" s="5" t="s">
        <v>48</v>
      </c>
      <c r="V473" s="5">
        <v>22.5</v>
      </c>
      <c r="W473" s="5" t="s">
        <v>21</v>
      </c>
      <c r="X473" s="5">
        <v>61</v>
      </c>
      <c r="Y473" s="5" t="s">
        <v>48</v>
      </c>
      <c r="Z473" s="5">
        <v>342</v>
      </c>
      <c r="AA473" s="5" t="s">
        <v>68</v>
      </c>
      <c r="AB473" s="5" t="s">
        <v>68</v>
      </c>
      <c r="AC473" s="5"/>
      <c r="AD473" s="5"/>
      <c r="AE473" s="5"/>
      <c r="AF473" s="5" t="s">
        <v>68</v>
      </c>
      <c r="AG473" s="5"/>
      <c r="AH473" s="5" t="s">
        <v>48</v>
      </c>
      <c r="AI473" s="5"/>
      <c r="AJ473" s="5"/>
      <c r="AK473" s="5"/>
      <c r="AL473" s="5"/>
      <c r="AM473" s="5"/>
      <c r="AN473" s="5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</row>
    <row r="474" spans="1:240" ht="30" customHeight="1">
      <c r="A474" s="5">
        <v>472</v>
      </c>
      <c r="B474" s="5" t="s">
        <v>68</v>
      </c>
      <c r="C474" s="5"/>
      <c r="D474" s="5"/>
      <c r="E474" s="5">
        <v>2844</v>
      </c>
      <c r="F474" s="5">
        <v>2383</v>
      </c>
      <c r="G474" s="5">
        <v>2500</v>
      </c>
      <c r="H474" s="5">
        <v>1064</v>
      </c>
      <c r="I474" s="5" t="s">
        <v>17</v>
      </c>
      <c r="J474" s="5">
        <v>53.7</v>
      </c>
      <c r="K474" s="30">
        <v>5</v>
      </c>
      <c r="L474" s="5">
        <v>287</v>
      </c>
      <c r="M474" s="31">
        <v>10</v>
      </c>
      <c r="N474" s="5">
        <v>64</v>
      </c>
      <c r="O474" s="5">
        <v>84000</v>
      </c>
      <c r="P474" s="5" t="s">
        <v>48</v>
      </c>
      <c r="Q474" s="5"/>
      <c r="R474" s="9">
        <v>4</v>
      </c>
      <c r="S474" s="5">
        <v>800</v>
      </c>
      <c r="T474" s="5" t="s">
        <v>48</v>
      </c>
      <c r="U474" s="5" t="s">
        <v>48</v>
      </c>
      <c r="V474" s="5">
        <v>6.56</v>
      </c>
      <c r="W474" s="5" t="s">
        <v>21</v>
      </c>
      <c r="X474" s="5">
        <v>53</v>
      </c>
      <c r="Y474" s="5" t="s">
        <v>48</v>
      </c>
      <c r="Z474" s="5">
        <v>182</v>
      </c>
      <c r="AA474" s="5" t="s">
        <v>68</v>
      </c>
      <c r="AB474" s="5" t="s">
        <v>68</v>
      </c>
      <c r="AC474" s="5"/>
      <c r="AD474" s="5"/>
      <c r="AE474" s="5"/>
      <c r="AF474" s="5" t="s">
        <v>68</v>
      </c>
      <c r="AG474" s="5"/>
      <c r="AH474" s="5" t="s">
        <v>48</v>
      </c>
      <c r="AI474" s="5"/>
      <c r="AJ474" s="5"/>
      <c r="AK474" s="5"/>
      <c r="AL474" s="5"/>
      <c r="AM474" s="5"/>
      <c r="AN474" s="5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</row>
    <row r="475" spans="1:240" ht="30" customHeight="1">
      <c r="A475" s="5">
        <v>473</v>
      </c>
      <c r="B475" s="5" t="s">
        <v>68</v>
      </c>
      <c r="C475" s="5"/>
      <c r="D475" s="5"/>
      <c r="E475" s="5">
        <v>2844</v>
      </c>
      <c r="F475" s="5">
        <v>2383</v>
      </c>
      <c r="G475" s="5">
        <v>2500</v>
      </c>
      <c r="H475" s="5">
        <v>1166</v>
      </c>
      <c r="I475" s="5" t="s">
        <v>17</v>
      </c>
      <c r="J475" s="5">
        <v>57.4</v>
      </c>
      <c r="K475" s="30">
        <v>5</v>
      </c>
      <c r="L475" s="5">
        <v>307</v>
      </c>
      <c r="M475" s="31">
        <v>10</v>
      </c>
      <c r="N475" s="5">
        <v>50</v>
      </c>
      <c r="O475" s="5">
        <v>80400</v>
      </c>
      <c r="P475" s="5" t="s">
        <v>48</v>
      </c>
      <c r="Q475" s="5"/>
      <c r="R475" s="20">
        <v>4</v>
      </c>
      <c r="S475" s="5">
        <v>800</v>
      </c>
      <c r="T475" s="5" t="s">
        <v>48</v>
      </c>
      <c r="U475" s="5" t="s">
        <v>48</v>
      </c>
      <c r="V475" s="5">
        <v>6.56</v>
      </c>
      <c r="W475" s="5" t="s">
        <v>21</v>
      </c>
      <c r="X475" s="5">
        <v>53</v>
      </c>
      <c r="Y475" s="5" t="s">
        <v>48</v>
      </c>
      <c r="Z475" s="5">
        <v>218</v>
      </c>
      <c r="AA475" s="5" t="s">
        <v>68</v>
      </c>
      <c r="AB475" s="5" t="s">
        <v>68</v>
      </c>
      <c r="AC475" s="5"/>
      <c r="AD475" s="5"/>
      <c r="AE475" s="5"/>
      <c r="AF475" s="5" t="s">
        <v>68</v>
      </c>
      <c r="AG475" s="5"/>
      <c r="AH475" s="5" t="s">
        <v>48</v>
      </c>
      <c r="AI475" s="5"/>
      <c r="AJ475" s="5"/>
      <c r="AK475" s="5"/>
      <c r="AL475" s="5"/>
      <c r="AM475" s="5"/>
      <c r="AN475" s="5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</row>
    <row r="476" spans="1:240" ht="30" customHeight="1">
      <c r="A476" s="5">
        <v>474</v>
      </c>
      <c r="B476" s="5" t="s">
        <v>68</v>
      </c>
      <c r="C476" s="5"/>
      <c r="D476" s="5"/>
      <c r="E476" s="5">
        <v>4266</v>
      </c>
      <c r="F476" s="5">
        <v>2383</v>
      </c>
      <c r="G476" s="5">
        <v>2500</v>
      </c>
      <c r="H476" s="5">
        <v>1533</v>
      </c>
      <c r="I476" s="5" t="s">
        <v>17</v>
      </c>
      <c r="J476" s="5">
        <v>80</v>
      </c>
      <c r="K476" s="30">
        <v>5</v>
      </c>
      <c r="L476" s="5">
        <v>428</v>
      </c>
      <c r="M476" s="31">
        <v>10</v>
      </c>
      <c r="N476" s="5">
        <v>30</v>
      </c>
      <c r="O476" s="5">
        <v>126000</v>
      </c>
      <c r="P476" s="5" t="s">
        <v>48</v>
      </c>
      <c r="Q476" s="5"/>
      <c r="R476" s="20">
        <v>6</v>
      </c>
      <c r="S476" s="5">
        <v>800</v>
      </c>
      <c r="T476" s="5" t="s">
        <v>48</v>
      </c>
      <c r="U476" s="5" t="s">
        <v>48</v>
      </c>
      <c r="V476" s="5">
        <v>9.84</v>
      </c>
      <c r="W476" s="5" t="s">
        <v>21</v>
      </c>
      <c r="X476" s="5">
        <v>55</v>
      </c>
      <c r="Y476" s="5" t="s">
        <v>48</v>
      </c>
      <c r="Z476" s="5">
        <v>236</v>
      </c>
      <c r="AA476" s="5" t="s">
        <v>68</v>
      </c>
      <c r="AB476" s="5" t="s">
        <v>68</v>
      </c>
      <c r="AC476" s="5"/>
      <c r="AD476" s="5"/>
      <c r="AE476" s="5"/>
      <c r="AF476" s="5" t="s">
        <v>68</v>
      </c>
      <c r="AG476" s="5"/>
      <c r="AH476" s="5" t="s">
        <v>48</v>
      </c>
      <c r="AI476" s="5"/>
      <c r="AJ476" s="5"/>
      <c r="AK476" s="5"/>
      <c r="AL476" s="5"/>
      <c r="AM476" s="5"/>
      <c r="AN476" s="5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</row>
    <row r="477" spans="1:240" ht="30" customHeight="1">
      <c r="A477" s="5">
        <v>475</v>
      </c>
      <c r="B477" s="5" t="s">
        <v>68</v>
      </c>
      <c r="C477" s="5"/>
      <c r="D477" s="5"/>
      <c r="E477" s="5">
        <v>4266</v>
      </c>
      <c r="F477" s="5">
        <v>2383</v>
      </c>
      <c r="G477" s="5">
        <v>2500</v>
      </c>
      <c r="H477" s="5">
        <v>1685</v>
      </c>
      <c r="I477" s="5" t="s">
        <v>17</v>
      </c>
      <c r="J477" s="5">
        <v>87.2</v>
      </c>
      <c r="K477" s="30">
        <v>5</v>
      </c>
      <c r="L477" s="5">
        <v>466</v>
      </c>
      <c r="M477" s="31">
        <v>10</v>
      </c>
      <c r="N477" s="5">
        <v>56</v>
      </c>
      <c r="O477" s="5">
        <v>120600</v>
      </c>
      <c r="P477" s="5" t="s">
        <v>48</v>
      </c>
      <c r="Q477" s="5"/>
      <c r="R477" s="20">
        <v>6</v>
      </c>
      <c r="S477" s="5">
        <v>800</v>
      </c>
      <c r="T477" s="5" t="s">
        <v>48</v>
      </c>
      <c r="U477" s="5" t="s">
        <v>48</v>
      </c>
      <c r="V477" s="5">
        <v>9.84</v>
      </c>
      <c r="W477" s="5" t="s">
        <v>21</v>
      </c>
      <c r="X477" s="5">
        <v>55</v>
      </c>
      <c r="Y477" s="5" t="s">
        <v>48</v>
      </c>
      <c r="Z477" s="5">
        <v>290</v>
      </c>
      <c r="AA477" s="5" t="s">
        <v>68</v>
      </c>
      <c r="AB477" s="5" t="s">
        <v>68</v>
      </c>
      <c r="AC477" s="5"/>
      <c r="AD477" s="5"/>
      <c r="AE477" s="5"/>
      <c r="AF477" s="5" t="s">
        <v>68</v>
      </c>
      <c r="AG477" s="5"/>
      <c r="AH477" s="5" t="s">
        <v>48</v>
      </c>
      <c r="AI477" s="5"/>
      <c r="AJ477" s="5"/>
      <c r="AK477" s="5"/>
      <c r="AL477" s="5"/>
      <c r="AM477" s="5"/>
      <c r="AN477" s="5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</row>
    <row r="478" spans="1:240" ht="30" customHeight="1">
      <c r="A478" s="5">
        <v>476</v>
      </c>
      <c r="B478" s="5" t="s">
        <v>68</v>
      </c>
      <c r="C478" s="5"/>
      <c r="D478" s="5"/>
      <c r="E478" s="5">
        <v>5688</v>
      </c>
      <c r="F478" s="5">
        <v>2383</v>
      </c>
      <c r="G478" s="5">
        <v>2500</v>
      </c>
      <c r="H478" s="5">
        <v>1881</v>
      </c>
      <c r="I478" s="5" t="s">
        <v>17</v>
      </c>
      <c r="J478" s="5">
        <v>108.4</v>
      </c>
      <c r="K478" s="30">
        <v>5</v>
      </c>
      <c r="L478" s="5">
        <v>580</v>
      </c>
      <c r="M478" s="31">
        <v>10</v>
      </c>
      <c r="N478" s="5">
        <v>63</v>
      </c>
      <c r="O478" s="14">
        <v>168000</v>
      </c>
      <c r="P478" s="5" t="s">
        <v>48</v>
      </c>
      <c r="Q478" s="5"/>
      <c r="R478" s="20">
        <v>8</v>
      </c>
      <c r="S478" s="5">
        <v>800</v>
      </c>
      <c r="T478" s="5" t="s">
        <v>48</v>
      </c>
      <c r="U478" s="5" t="s">
        <v>48</v>
      </c>
      <c r="V478" s="5">
        <v>13.12</v>
      </c>
      <c r="W478" s="5" t="s">
        <v>21</v>
      </c>
      <c r="X478" s="5">
        <v>56</v>
      </c>
      <c r="Y478" s="5" t="s">
        <v>48</v>
      </c>
      <c r="Z478" s="5">
        <v>288</v>
      </c>
      <c r="AA478" s="5" t="s">
        <v>68</v>
      </c>
      <c r="AB478" s="5" t="s">
        <v>68</v>
      </c>
      <c r="AC478" s="5"/>
      <c r="AD478" s="5"/>
      <c r="AE478" s="5"/>
      <c r="AF478" s="5" t="s">
        <v>68</v>
      </c>
      <c r="AG478" s="5"/>
      <c r="AH478" s="5" t="s">
        <v>48</v>
      </c>
      <c r="AI478" s="5"/>
      <c r="AJ478" s="5"/>
      <c r="AK478" s="5"/>
      <c r="AL478" s="5"/>
      <c r="AM478" s="5"/>
      <c r="AN478" s="5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</row>
    <row r="479" spans="1:240" ht="30" customHeight="1">
      <c r="A479" s="5">
        <v>477</v>
      </c>
      <c r="B479" s="5" t="s">
        <v>68</v>
      </c>
      <c r="C479" s="5"/>
      <c r="D479" s="5"/>
      <c r="E479" s="5">
        <v>5688</v>
      </c>
      <c r="F479" s="5">
        <v>2383</v>
      </c>
      <c r="G479" s="5">
        <v>2500</v>
      </c>
      <c r="H479" s="5">
        <v>2083</v>
      </c>
      <c r="I479" s="5" t="s">
        <v>17</v>
      </c>
      <c r="J479" s="5">
        <v>115.8</v>
      </c>
      <c r="K479" s="30">
        <v>5</v>
      </c>
      <c r="L479" s="5">
        <v>619</v>
      </c>
      <c r="M479" s="31">
        <v>10</v>
      </c>
      <c r="N479" s="5">
        <v>51</v>
      </c>
      <c r="O479" s="5">
        <v>160800</v>
      </c>
      <c r="P479" s="5" t="s">
        <v>48</v>
      </c>
      <c r="Q479" s="5"/>
      <c r="R479" s="20">
        <v>8</v>
      </c>
      <c r="S479" s="5">
        <v>800</v>
      </c>
      <c r="T479" s="5" t="s">
        <v>48</v>
      </c>
      <c r="U479" s="5" t="s">
        <v>48</v>
      </c>
      <c r="V479" s="5">
        <v>13.12</v>
      </c>
      <c r="W479" s="5" t="s">
        <v>21</v>
      </c>
      <c r="X479" s="5">
        <v>56</v>
      </c>
      <c r="Y479" s="5" t="s">
        <v>48</v>
      </c>
      <c r="Z479" s="5">
        <v>362</v>
      </c>
      <c r="AA479" s="5" t="s">
        <v>68</v>
      </c>
      <c r="AB479" s="5" t="s">
        <v>68</v>
      </c>
      <c r="AC479" s="5"/>
      <c r="AD479" s="5"/>
      <c r="AE479" s="5"/>
      <c r="AF479" s="5" t="s">
        <v>68</v>
      </c>
      <c r="AG479" s="5"/>
      <c r="AH479" s="5" t="s">
        <v>48</v>
      </c>
      <c r="AI479" s="5"/>
      <c r="AJ479" s="5"/>
      <c r="AK479" s="5"/>
      <c r="AL479" s="5"/>
      <c r="AM479" s="5"/>
      <c r="AN479" s="5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</row>
    <row r="480" spans="1:240" ht="30" customHeight="1">
      <c r="A480" s="5">
        <v>478</v>
      </c>
      <c r="B480" s="5" t="s">
        <v>68</v>
      </c>
      <c r="C480" s="5"/>
      <c r="D480" s="5"/>
      <c r="E480" s="5">
        <v>7110</v>
      </c>
      <c r="F480" s="5">
        <v>2383</v>
      </c>
      <c r="G480" s="5">
        <v>2500</v>
      </c>
      <c r="H480" s="5">
        <v>2233</v>
      </c>
      <c r="I480" s="5" t="s">
        <v>17</v>
      </c>
      <c r="J480" s="5">
        <v>136.69999999999999</v>
      </c>
      <c r="K480" s="30">
        <v>5</v>
      </c>
      <c r="L480" s="5">
        <v>731</v>
      </c>
      <c r="M480" s="31">
        <v>10</v>
      </c>
      <c r="N480" s="5">
        <v>94</v>
      </c>
      <c r="O480" s="5">
        <v>210000</v>
      </c>
      <c r="P480" s="5" t="s">
        <v>48</v>
      </c>
      <c r="Q480" s="5"/>
      <c r="R480" s="20">
        <v>10</v>
      </c>
      <c r="S480" s="5">
        <v>800</v>
      </c>
      <c r="T480" s="5" t="s">
        <v>48</v>
      </c>
      <c r="U480" s="5" t="s">
        <v>48</v>
      </c>
      <c r="V480" s="5">
        <v>16.399999999999999</v>
      </c>
      <c r="W480" s="5" t="s">
        <v>21</v>
      </c>
      <c r="X480" s="5">
        <v>57</v>
      </c>
      <c r="Y480" s="5" t="s">
        <v>48</v>
      </c>
      <c r="Z480" s="5">
        <v>342</v>
      </c>
      <c r="AA480" s="5" t="s">
        <v>68</v>
      </c>
      <c r="AB480" s="5" t="s">
        <v>68</v>
      </c>
      <c r="AC480" s="5"/>
      <c r="AD480" s="5"/>
      <c r="AE480" s="5"/>
      <c r="AF480" s="5" t="s">
        <v>68</v>
      </c>
      <c r="AG480" s="5"/>
      <c r="AH480" s="5" t="s">
        <v>48</v>
      </c>
      <c r="AI480" s="5"/>
      <c r="AJ480" s="5"/>
      <c r="AK480" s="5"/>
      <c r="AL480" s="5"/>
      <c r="AM480" s="5"/>
      <c r="AN480" s="5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</row>
    <row r="481" spans="1:240" ht="30" customHeight="1">
      <c r="A481" s="5">
        <v>479</v>
      </c>
      <c r="B481" s="5" t="s">
        <v>68</v>
      </c>
      <c r="C481" s="5"/>
      <c r="D481" s="5"/>
      <c r="E481" s="5">
        <v>2844</v>
      </c>
      <c r="F481" s="5">
        <v>2383</v>
      </c>
      <c r="G481" s="5">
        <v>2500</v>
      </c>
      <c r="H481" s="5">
        <v>1064</v>
      </c>
      <c r="I481" s="5" t="s">
        <v>17</v>
      </c>
      <c r="J481" s="5">
        <v>49.1</v>
      </c>
      <c r="K481" s="30">
        <v>5</v>
      </c>
      <c r="L481" s="5">
        <v>263</v>
      </c>
      <c r="M481" s="31">
        <v>10</v>
      </c>
      <c r="N481" s="5">
        <v>54</v>
      </c>
      <c r="O481" s="5">
        <v>73200</v>
      </c>
      <c r="P481" s="5" t="s">
        <v>48</v>
      </c>
      <c r="Q481" s="5"/>
      <c r="R481" s="5">
        <v>4</v>
      </c>
      <c r="S481" s="5">
        <v>900</v>
      </c>
      <c r="T481" s="5" t="s">
        <v>48</v>
      </c>
      <c r="U481" s="5" t="s">
        <v>48</v>
      </c>
      <c r="V481" s="5">
        <v>4.08</v>
      </c>
      <c r="W481" s="5" t="s">
        <v>22</v>
      </c>
      <c r="X481" s="5">
        <v>50</v>
      </c>
      <c r="Y481" s="5" t="s">
        <v>48</v>
      </c>
      <c r="Z481" s="5">
        <v>182</v>
      </c>
      <c r="AA481" s="5" t="s">
        <v>68</v>
      </c>
      <c r="AB481" s="5" t="s">
        <v>68</v>
      </c>
      <c r="AC481" s="5"/>
      <c r="AD481" s="5"/>
      <c r="AE481" s="5"/>
      <c r="AF481" s="5" t="s">
        <v>68</v>
      </c>
      <c r="AG481" s="5"/>
      <c r="AH481" s="5" t="s">
        <v>48</v>
      </c>
      <c r="AI481" s="5"/>
      <c r="AJ481" s="5"/>
      <c r="AK481" s="5"/>
      <c r="AL481" s="5"/>
      <c r="AM481" s="5"/>
      <c r="AN481" s="5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</row>
    <row r="482" spans="1:240" ht="30" customHeight="1">
      <c r="A482" s="5">
        <v>480</v>
      </c>
      <c r="B482" s="5" t="s">
        <v>68</v>
      </c>
      <c r="C482" s="5"/>
      <c r="D482" s="5"/>
      <c r="E482" s="5">
        <v>2844</v>
      </c>
      <c r="F482" s="5">
        <v>2383</v>
      </c>
      <c r="G482" s="5">
        <v>2500</v>
      </c>
      <c r="H482" s="5">
        <v>1166</v>
      </c>
      <c r="I482" s="5" t="s">
        <v>17</v>
      </c>
      <c r="J482" s="5">
        <v>51.2</v>
      </c>
      <c r="K482" s="30">
        <v>5</v>
      </c>
      <c r="L482" s="5">
        <v>274</v>
      </c>
      <c r="M482" s="31">
        <v>10</v>
      </c>
      <c r="N482" s="5">
        <v>40</v>
      </c>
      <c r="O482" s="5">
        <v>69200</v>
      </c>
      <c r="P482" s="5" t="s">
        <v>48</v>
      </c>
      <c r="Q482" s="5"/>
      <c r="R482" s="5">
        <v>4</v>
      </c>
      <c r="S482" s="5">
        <v>900</v>
      </c>
      <c r="T482" s="5" t="s">
        <v>48</v>
      </c>
      <c r="U482" s="5" t="s">
        <v>48</v>
      </c>
      <c r="V482" s="5">
        <v>4.08</v>
      </c>
      <c r="W482" s="5" t="s">
        <v>22</v>
      </c>
      <c r="X482" s="5">
        <v>50</v>
      </c>
      <c r="Y482" s="5" t="s">
        <v>48</v>
      </c>
      <c r="Z482" s="5">
        <v>218</v>
      </c>
      <c r="AA482" s="5" t="s">
        <v>68</v>
      </c>
      <c r="AB482" s="5" t="s">
        <v>68</v>
      </c>
      <c r="AC482" s="5"/>
      <c r="AD482" s="5"/>
      <c r="AE482" s="5"/>
      <c r="AF482" s="5" t="s">
        <v>68</v>
      </c>
      <c r="AG482" s="5"/>
      <c r="AH482" s="5" t="s">
        <v>48</v>
      </c>
      <c r="AI482" s="5"/>
      <c r="AJ482" s="5"/>
      <c r="AK482" s="5"/>
      <c r="AL482" s="5"/>
      <c r="AM482" s="5"/>
      <c r="AN482" s="5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</row>
    <row r="483" spans="1:240" ht="30" customHeight="1">
      <c r="A483" s="5">
        <v>481</v>
      </c>
      <c r="B483" s="5" t="s">
        <v>68</v>
      </c>
      <c r="C483" s="5"/>
      <c r="D483" s="5"/>
      <c r="E483" s="5">
        <v>4266</v>
      </c>
      <c r="F483" s="5">
        <v>2383</v>
      </c>
      <c r="G483" s="5">
        <v>2500</v>
      </c>
      <c r="H483" s="5">
        <v>1533</v>
      </c>
      <c r="I483" s="5" t="s">
        <v>17</v>
      </c>
      <c r="J483" s="5">
        <v>74.7</v>
      </c>
      <c r="K483" s="30">
        <v>5</v>
      </c>
      <c r="L483" s="5">
        <v>399</v>
      </c>
      <c r="M483" s="31">
        <v>10</v>
      </c>
      <c r="N483" s="5">
        <v>65</v>
      </c>
      <c r="O483" s="5">
        <v>109800</v>
      </c>
      <c r="P483" s="5" t="s">
        <v>48</v>
      </c>
      <c r="Q483" s="5"/>
      <c r="R483" s="5">
        <v>6</v>
      </c>
      <c r="S483" s="5">
        <v>900</v>
      </c>
      <c r="T483" s="5" t="s">
        <v>48</v>
      </c>
      <c r="U483" s="5" t="s">
        <v>48</v>
      </c>
      <c r="V483" s="5">
        <v>6.12</v>
      </c>
      <c r="W483" s="5" t="s">
        <v>22</v>
      </c>
      <c r="X483" s="5">
        <v>52</v>
      </c>
      <c r="Y483" s="5" t="s">
        <v>48</v>
      </c>
      <c r="Z483" s="5">
        <v>236</v>
      </c>
      <c r="AA483" s="5" t="s">
        <v>68</v>
      </c>
      <c r="AB483" s="5" t="s">
        <v>68</v>
      </c>
      <c r="AC483" s="5"/>
      <c r="AD483" s="5"/>
      <c r="AE483" s="5"/>
      <c r="AF483" s="5" t="s">
        <v>68</v>
      </c>
      <c r="AG483" s="5"/>
      <c r="AH483" s="5" t="s">
        <v>48</v>
      </c>
      <c r="AI483" s="5"/>
      <c r="AJ483" s="5"/>
      <c r="AK483" s="5"/>
      <c r="AL483" s="5"/>
      <c r="AM483" s="5"/>
      <c r="AN483" s="5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</row>
    <row r="484" spans="1:240" ht="30" customHeight="1">
      <c r="A484" s="5">
        <v>482</v>
      </c>
      <c r="B484" s="5" t="s">
        <v>68</v>
      </c>
      <c r="C484" s="5"/>
      <c r="D484" s="5"/>
      <c r="E484" s="5">
        <v>4266</v>
      </c>
      <c r="F484" s="5">
        <v>2383</v>
      </c>
      <c r="G484" s="5">
        <v>2500</v>
      </c>
      <c r="H484" s="5">
        <v>1685</v>
      </c>
      <c r="I484" s="5" t="s">
        <v>17</v>
      </c>
      <c r="J484" s="5">
        <v>77.8</v>
      </c>
      <c r="K484" s="30">
        <v>5</v>
      </c>
      <c r="L484" s="5">
        <v>416</v>
      </c>
      <c r="M484" s="31">
        <v>10</v>
      </c>
      <c r="N484" s="5">
        <v>45</v>
      </c>
      <c r="O484" s="5">
        <v>103800</v>
      </c>
      <c r="P484" s="5" t="s">
        <v>48</v>
      </c>
      <c r="Q484" s="5"/>
      <c r="R484" s="5">
        <v>6</v>
      </c>
      <c r="S484" s="5">
        <v>900</v>
      </c>
      <c r="T484" s="5" t="s">
        <v>48</v>
      </c>
      <c r="U484" s="5" t="s">
        <v>48</v>
      </c>
      <c r="V484" s="5">
        <v>6.12</v>
      </c>
      <c r="W484" s="5" t="s">
        <v>22</v>
      </c>
      <c r="X484" s="5">
        <v>52</v>
      </c>
      <c r="Y484" s="5" t="s">
        <v>48</v>
      </c>
      <c r="Z484" s="5">
        <v>290</v>
      </c>
      <c r="AA484" s="5" t="s">
        <v>68</v>
      </c>
      <c r="AB484" s="5" t="s">
        <v>68</v>
      </c>
      <c r="AC484" s="5"/>
      <c r="AD484" s="5"/>
      <c r="AE484" s="5"/>
      <c r="AF484" s="5" t="s">
        <v>68</v>
      </c>
      <c r="AG484" s="5"/>
      <c r="AH484" s="5" t="s">
        <v>48</v>
      </c>
      <c r="AI484" s="5"/>
      <c r="AJ484" s="5"/>
      <c r="AK484" s="5"/>
      <c r="AL484" s="5"/>
      <c r="AM484" s="5"/>
      <c r="AN484" s="5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</row>
    <row r="485" spans="1:240" ht="30" customHeight="1">
      <c r="A485" s="5">
        <v>483</v>
      </c>
      <c r="B485" s="5" t="s">
        <v>68</v>
      </c>
      <c r="C485" s="5"/>
      <c r="D485" s="5"/>
      <c r="E485" s="5">
        <v>5688</v>
      </c>
      <c r="F485" s="5">
        <v>2383</v>
      </c>
      <c r="G485" s="5">
        <v>2500</v>
      </c>
      <c r="H485" s="5">
        <v>1881</v>
      </c>
      <c r="I485" s="5" t="s">
        <v>17</v>
      </c>
      <c r="J485" s="5">
        <v>99.1</v>
      </c>
      <c r="K485" s="30">
        <v>5</v>
      </c>
      <c r="L485" s="5">
        <v>530</v>
      </c>
      <c r="M485" s="31">
        <v>10</v>
      </c>
      <c r="N485" s="5">
        <v>53</v>
      </c>
      <c r="O485" s="5">
        <v>146400</v>
      </c>
      <c r="P485" s="5" t="s">
        <v>48</v>
      </c>
      <c r="Q485" s="5"/>
      <c r="R485" s="5">
        <v>8</v>
      </c>
      <c r="S485" s="5">
        <v>900</v>
      </c>
      <c r="T485" s="5" t="s">
        <v>48</v>
      </c>
      <c r="U485" s="5" t="s">
        <v>48</v>
      </c>
      <c r="V485" s="5">
        <v>8.16</v>
      </c>
      <c r="W485" s="5" t="s">
        <v>22</v>
      </c>
      <c r="X485" s="5">
        <v>52</v>
      </c>
      <c r="Y485" s="5" t="s">
        <v>48</v>
      </c>
      <c r="Z485" s="5">
        <v>288</v>
      </c>
      <c r="AA485" s="5" t="s">
        <v>68</v>
      </c>
      <c r="AB485" s="5" t="s">
        <v>68</v>
      </c>
      <c r="AC485" s="5"/>
      <c r="AD485" s="5"/>
      <c r="AE485" s="5"/>
      <c r="AF485" s="5" t="s">
        <v>68</v>
      </c>
      <c r="AG485" s="5"/>
      <c r="AH485" s="5" t="s">
        <v>48</v>
      </c>
      <c r="AI485" s="5"/>
      <c r="AJ485" s="5"/>
      <c r="AK485" s="5"/>
      <c r="AL485" s="5"/>
      <c r="AM485" s="5"/>
      <c r="AN485" s="5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</row>
    <row r="486" spans="1:240" ht="30" customHeight="1">
      <c r="A486" s="5">
        <v>484</v>
      </c>
      <c r="B486" s="5" t="s">
        <v>68</v>
      </c>
      <c r="C486" s="5"/>
      <c r="D486" s="5"/>
      <c r="E486" s="5">
        <v>5688</v>
      </c>
      <c r="F486" s="5">
        <v>2383</v>
      </c>
      <c r="G486" s="5">
        <v>2500</v>
      </c>
      <c r="H486" s="5">
        <v>2083</v>
      </c>
      <c r="I486" s="5" t="s">
        <v>17</v>
      </c>
      <c r="J486" s="5">
        <v>103.4</v>
      </c>
      <c r="K486" s="30">
        <v>5</v>
      </c>
      <c r="L486" s="5">
        <v>553</v>
      </c>
      <c r="M486" s="31">
        <v>10</v>
      </c>
      <c r="N486" s="5">
        <v>41</v>
      </c>
      <c r="O486" s="5">
        <v>138400</v>
      </c>
      <c r="P486" s="5" t="s">
        <v>48</v>
      </c>
      <c r="Q486" s="5"/>
      <c r="R486" s="5">
        <v>8</v>
      </c>
      <c r="S486" s="5">
        <v>900</v>
      </c>
      <c r="T486" s="5" t="s">
        <v>48</v>
      </c>
      <c r="U486" s="5" t="s">
        <v>48</v>
      </c>
      <c r="V486" s="5">
        <v>8.16</v>
      </c>
      <c r="W486" s="5" t="s">
        <v>22</v>
      </c>
      <c r="X486" s="5">
        <v>53</v>
      </c>
      <c r="Y486" s="5" t="s">
        <v>48</v>
      </c>
      <c r="Z486" s="5">
        <v>362</v>
      </c>
      <c r="AA486" s="5" t="s">
        <v>68</v>
      </c>
      <c r="AB486" s="5" t="s">
        <v>68</v>
      </c>
      <c r="AC486" s="5"/>
      <c r="AD486" s="5"/>
      <c r="AE486" s="5"/>
      <c r="AF486" s="5" t="s">
        <v>68</v>
      </c>
      <c r="AG486" s="5"/>
      <c r="AH486" s="5" t="s">
        <v>48</v>
      </c>
      <c r="AI486" s="5"/>
      <c r="AJ486" s="5"/>
      <c r="AK486" s="5"/>
      <c r="AL486" s="5"/>
      <c r="AM486" s="5"/>
      <c r="AN486" s="5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</row>
    <row r="487" spans="1:240" ht="30" customHeight="1">
      <c r="A487" s="5">
        <v>485</v>
      </c>
      <c r="B487" s="5" t="s">
        <v>68</v>
      </c>
      <c r="C487" s="5"/>
      <c r="D487" s="5"/>
      <c r="E487" s="5">
        <v>7110</v>
      </c>
      <c r="F487" s="5">
        <v>2383</v>
      </c>
      <c r="G487" s="5">
        <v>2500</v>
      </c>
      <c r="H487" s="5">
        <v>2233</v>
      </c>
      <c r="I487" s="5" t="s">
        <v>17</v>
      </c>
      <c r="J487" s="5">
        <v>125</v>
      </c>
      <c r="K487" s="30">
        <v>5</v>
      </c>
      <c r="L487" s="5">
        <v>668</v>
      </c>
      <c r="M487" s="31">
        <v>10</v>
      </c>
      <c r="N487" s="5">
        <v>80</v>
      </c>
      <c r="O487" s="5">
        <v>183000</v>
      </c>
      <c r="P487" s="5" t="s">
        <v>48</v>
      </c>
      <c r="Q487" s="5"/>
      <c r="R487" s="5">
        <v>10</v>
      </c>
      <c r="S487" s="5">
        <v>900</v>
      </c>
      <c r="T487" s="5" t="s">
        <v>48</v>
      </c>
      <c r="U487" s="5" t="s">
        <v>48</v>
      </c>
      <c r="V487" s="5">
        <v>10.199999999999999</v>
      </c>
      <c r="W487" s="5" t="s">
        <v>22</v>
      </c>
      <c r="X487" s="5">
        <v>53</v>
      </c>
      <c r="Y487" s="5" t="s">
        <v>48</v>
      </c>
      <c r="Z487" s="5">
        <v>342</v>
      </c>
      <c r="AA487" s="5" t="s">
        <v>68</v>
      </c>
      <c r="AB487" s="5" t="s">
        <v>68</v>
      </c>
      <c r="AC487" s="5"/>
      <c r="AD487" s="5"/>
      <c r="AE487" s="5"/>
      <c r="AF487" s="5" t="s">
        <v>68</v>
      </c>
      <c r="AG487" s="5"/>
      <c r="AH487" s="5" t="s">
        <v>48</v>
      </c>
      <c r="AI487" s="5"/>
      <c r="AJ487" s="5"/>
      <c r="AK487" s="5"/>
      <c r="AL487" s="5"/>
      <c r="AM487" s="5"/>
      <c r="AN487" s="5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</row>
    <row r="488" spans="1:240" ht="30" customHeight="1">
      <c r="A488" s="5">
        <v>486</v>
      </c>
      <c r="B488" s="5" t="s">
        <v>68</v>
      </c>
      <c r="C488" s="5"/>
      <c r="D488" s="5"/>
      <c r="E488" s="5">
        <v>2844</v>
      </c>
      <c r="F488" s="5">
        <v>2383</v>
      </c>
      <c r="G488" s="5">
        <v>2500</v>
      </c>
      <c r="H488" s="5">
        <v>1064</v>
      </c>
      <c r="I488" s="5" t="s">
        <v>17</v>
      </c>
      <c r="J488" s="5">
        <v>42.7</v>
      </c>
      <c r="K488" s="30">
        <v>5</v>
      </c>
      <c r="L488" s="5">
        <v>229</v>
      </c>
      <c r="M488" s="31">
        <v>10</v>
      </c>
      <c r="N488" s="5">
        <v>42</v>
      </c>
      <c r="O488" s="5">
        <v>61600</v>
      </c>
      <c r="P488" s="5" t="s">
        <v>48</v>
      </c>
      <c r="Q488" s="5"/>
      <c r="R488" s="5">
        <v>4</v>
      </c>
      <c r="S488" s="5">
        <v>800</v>
      </c>
      <c r="T488" s="5" t="s">
        <v>48</v>
      </c>
      <c r="U488" s="5" t="s">
        <v>48</v>
      </c>
      <c r="V488" s="5">
        <v>3.2</v>
      </c>
      <c r="W488" s="5" t="s">
        <v>22</v>
      </c>
      <c r="X488" s="5">
        <v>54</v>
      </c>
      <c r="Y488" s="5" t="s">
        <v>48</v>
      </c>
      <c r="Z488" s="5">
        <v>182</v>
      </c>
      <c r="AA488" s="5" t="s">
        <v>68</v>
      </c>
      <c r="AB488" s="5" t="s">
        <v>68</v>
      </c>
      <c r="AC488" s="5"/>
      <c r="AD488" s="5"/>
      <c r="AE488" s="5"/>
      <c r="AF488" s="5" t="s">
        <v>68</v>
      </c>
      <c r="AG488" s="5"/>
      <c r="AH488" s="5" t="s">
        <v>48</v>
      </c>
      <c r="AI488" s="5"/>
      <c r="AJ488" s="5"/>
      <c r="AK488" s="5"/>
      <c r="AL488" s="5"/>
      <c r="AM488" s="5"/>
      <c r="AN488" s="5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</row>
    <row r="489" spans="1:240" ht="30" customHeight="1">
      <c r="A489" s="5">
        <v>487</v>
      </c>
      <c r="B489" s="5" t="s">
        <v>68</v>
      </c>
      <c r="C489" s="5"/>
      <c r="D489" s="5"/>
      <c r="E489" s="5">
        <v>2844</v>
      </c>
      <c r="F489" s="5">
        <v>2383</v>
      </c>
      <c r="G489" s="5">
        <v>2500</v>
      </c>
      <c r="H489" s="5">
        <v>1166</v>
      </c>
      <c r="I489" s="5" t="s">
        <v>17</v>
      </c>
      <c r="J489" s="5">
        <v>44.4</v>
      </c>
      <c r="K489" s="30">
        <v>5</v>
      </c>
      <c r="L489" s="5">
        <v>237</v>
      </c>
      <c r="M489" s="31">
        <v>10</v>
      </c>
      <c r="N489" s="5">
        <v>31</v>
      </c>
      <c r="O489" s="5">
        <v>59200</v>
      </c>
      <c r="P489" s="5" t="s">
        <v>48</v>
      </c>
      <c r="Q489" s="5"/>
      <c r="R489" s="5">
        <v>4</v>
      </c>
      <c r="S489" s="5">
        <v>800</v>
      </c>
      <c r="T489" s="5" t="s">
        <v>48</v>
      </c>
      <c r="U489" s="5" t="s">
        <v>48</v>
      </c>
      <c r="V489" s="5">
        <v>3.2</v>
      </c>
      <c r="W489" s="5" t="s">
        <v>22</v>
      </c>
      <c r="X489" s="5">
        <v>46</v>
      </c>
      <c r="Y489" s="5" t="s">
        <v>48</v>
      </c>
      <c r="Z489" s="5">
        <v>218</v>
      </c>
      <c r="AA489" s="5" t="s">
        <v>68</v>
      </c>
      <c r="AB489" s="5" t="s">
        <v>68</v>
      </c>
      <c r="AC489" s="5"/>
      <c r="AD489" s="5"/>
      <c r="AE489" s="5"/>
      <c r="AF489" s="5" t="s">
        <v>68</v>
      </c>
      <c r="AG489" s="5"/>
      <c r="AH489" s="5" t="s">
        <v>48</v>
      </c>
      <c r="AI489" s="5"/>
      <c r="AJ489" s="5"/>
      <c r="AK489" s="5"/>
      <c r="AL489" s="5"/>
      <c r="AM489" s="5"/>
      <c r="AN489" s="5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</row>
    <row r="490" spans="1:240" ht="30" customHeight="1">
      <c r="A490" s="5">
        <v>488</v>
      </c>
      <c r="B490" s="5" t="s">
        <v>68</v>
      </c>
      <c r="C490" s="5"/>
      <c r="D490" s="5"/>
      <c r="E490" s="5">
        <v>4266</v>
      </c>
      <c r="F490" s="5">
        <v>2383</v>
      </c>
      <c r="G490" s="5">
        <v>2500</v>
      </c>
      <c r="H490" s="5">
        <v>1533</v>
      </c>
      <c r="I490" s="5" t="s">
        <v>17</v>
      </c>
      <c r="J490" s="5">
        <v>65.099999999999994</v>
      </c>
      <c r="K490" s="30">
        <v>5</v>
      </c>
      <c r="L490" s="5">
        <v>348</v>
      </c>
      <c r="M490" s="31">
        <v>10</v>
      </c>
      <c r="N490" s="5">
        <v>51</v>
      </c>
      <c r="O490" s="5">
        <v>92400</v>
      </c>
      <c r="P490" s="5" t="s">
        <v>48</v>
      </c>
      <c r="Q490" s="5"/>
      <c r="R490" s="5">
        <v>6</v>
      </c>
      <c r="S490" s="5">
        <v>800</v>
      </c>
      <c r="T490" s="5" t="s">
        <v>48</v>
      </c>
      <c r="U490" s="5" t="s">
        <v>48</v>
      </c>
      <c r="V490" s="5">
        <v>4.8</v>
      </c>
      <c r="W490" s="5" t="s">
        <v>22</v>
      </c>
      <c r="X490" s="5">
        <v>48</v>
      </c>
      <c r="Y490" s="5" t="s">
        <v>48</v>
      </c>
      <c r="Z490" s="5">
        <v>236</v>
      </c>
      <c r="AA490" s="5" t="s">
        <v>68</v>
      </c>
      <c r="AB490" s="5" t="s">
        <v>68</v>
      </c>
      <c r="AC490" s="5"/>
      <c r="AD490" s="5"/>
      <c r="AE490" s="5"/>
      <c r="AF490" s="5" t="s">
        <v>68</v>
      </c>
      <c r="AG490" s="5"/>
      <c r="AH490" s="5" t="s">
        <v>48</v>
      </c>
      <c r="AI490" s="5"/>
      <c r="AJ490" s="5"/>
      <c r="AK490" s="5"/>
      <c r="AL490" s="5"/>
      <c r="AM490" s="5"/>
      <c r="AN490" s="5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</row>
    <row r="491" spans="1:240" ht="30" customHeight="1">
      <c r="A491" s="5">
        <v>489</v>
      </c>
      <c r="B491" s="5" t="s">
        <v>68</v>
      </c>
      <c r="C491" s="5"/>
      <c r="D491" s="5"/>
      <c r="E491" s="5">
        <v>4266</v>
      </c>
      <c r="F491" s="5">
        <v>2383</v>
      </c>
      <c r="G491" s="5">
        <v>2500</v>
      </c>
      <c r="H491" s="5">
        <v>1685</v>
      </c>
      <c r="I491" s="5" t="s">
        <v>17</v>
      </c>
      <c r="J491" s="5">
        <v>67.400000000000006</v>
      </c>
      <c r="K491" s="30">
        <v>5</v>
      </c>
      <c r="L491" s="5">
        <v>361</v>
      </c>
      <c r="M491" s="31">
        <v>10</v>
      </c>
      <c r="N491" s="5">
        <v>35</v>
      </c>
      <c r="O491" s="5">
        <v>88800</v>
      </c>
      <c r="P491" s="5" t="s">
        <v>48</v>
      </c>
      <c r="Q491" s="5"/>
      <c r="R491" s="5">
        <v>6</v>
      </c>
      <c r="S491" s="5">
        <v>800</v>
      </c>
      <c r="T491" s="5" t="s">
        <v>48</v>
      </c>
      <c r="U491" s="5" t="s">
        <v>48</v>
      </c>
      <c r="V491" s="5">
        <v>4.8</v>
      </c>
      <c r="W491" s="5" t="s">
        <v>22</v>
      </c>
      <c r="X491" s="5">
        <v>48</v>
      </c>
      <c r="Y491" s="5" t="s">
        <v>48</v>
      </c>
      <c r="Z491" s="5">
        <v>290</v>
      </c>
      <c r="AA491" s="5" t="s">
        <v>68</v>
      </c>
      <c r="AB491" s="5" t="s">
        <v>68</v>
      </c>
      <c r="AC491" s="5"/>
      <c r="AD491" s="5"/>
      <c r="AE491" s="5"/>
      <c r="AF491" s="5" t="s">
        <v>68</v>
      </c>
      <c r="AG491" s="5"/>
      <c r="AH491" s="5" t="s">
        <v>48</v>
      </c>
      <c r="AI491" s="5"/>
      <c r="AJ491" s="5"/>
      <c r="AK491" s="5"/>
      <c r="AL491" s="5"/>
      <c r="AM491" s="5"/>
      <c r="AN491" s="5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</row>
    <row r="492" spans="1:240" ht="30" customHeight="1">
      <c r="A492" s="5">
        <v>490</v>
      </c>
      <c r="B492" s="5" t="s">
        <v>68</v>
      </c>
      <c r="C492" s="5"/>
      <c r="D492" s="5"/>
      <c r="E492" s="5">
        <v>5688</v>
      </c>
      <c r="F492" s="5">
        <v>2383</v>
      </c>
      <c r="G492" s="5">
        <v>2500</v>
      </c>
      <c r="H492" s="5">
        <v>1881</v>
      </c>
      <c r="I492" s="5" t="s">
        <v>17</v>
      </c>
      <c r="J492" s="5">
        <v>86.3</v>
      </c>
      <c r="K492" s="30">
        <v>5</v>
      </c>
      <c r="L492" s="5">
        <v>462</v>
      </c>
      <c r="M492" s="31">
        <v>10</v>
      </c>
      <c r="N492" s="5">
        <v>41</v>
      </c>
      <c r="O492" s="5">
        <v>123200</v>
      </c>
      <c r="P492" s="5" t="s">
        <v>48</v>
      </c>
      <c r="Q492" s="5"/>
      <c r="R492" s="5">
        <v>8</v>
      </c>
      <c r="S492" s="5">
        <v>800</v>
      </c>
      <c r="T492" s="5" t="s">
        <v>48</v>
      </c>
      <c r="U492" s="5" t="s">
        <v>48</v>
      </c>
      <c r="V492" s="5">
        <v>6.4</v>
      </c>
      <c r="W492" s="5" t="s">
        <v>22</v>
      </c>
      <c r="X492" s="5">
        <v>49</v>
      </c>
      <c r="Y492" s="5" t="s">
        <v>48</v>
      </c>
      <c r="Z492" s="5">
        <v>288</v>
      </c>
      <c r="AA492" s="5" t="s">
        <v>68</v>
      </c>
      <c r="AB492" s="5" t="s">
        <v>68</v>
      </c>
      <c r="AC492" s="5"/>
      <c r="AD492" s="5"/>
      <c r="AE492" s="5"/>
      <c r="AF492" s="5" t="s">
        <v>68</v>
      </c>
      <c r="AG492" s="5"/>
      <c r="AH492" s="5" t="s">
        <v>48</v>
      </c>
      <c r="AI492" s="5"/>
      <c r="AJ492" s="5"/>
      <c r="AK492" s="5"/>
      <c r="AL492" s="5"/>
      <c r="AM492" s="5"/>
      <c r="AN492" s="5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</row>
    <row r="493" spans="1:240" ht="30" customHeight="1">
      <c r="A493" s="5">
        <v>491</v>
      </c>
      <c r="B493" s="5" t="s">
        <v>68</v>
      </c>
      <c r="C493" s="5"/>
      <c r="D493" s="5"/>
      <c r="E493" s="5">
        <v>5688</v>
      </c>
      <c r="F493" s="5">
        <v>2383</v>
      </c>
      <c r="G493" s="5">
        <v>2500</v>
      </c>
      <c r="H493" s="5">
        <v>2083</v>
      </c>
      <c r="I493" s="5" t="s">
        <v>17</v>
      </c>
      <c r="J493" s="5">
        <v>89.5</v>
      </c>
      <c r="K493" s="30">
        <v>5</v>
      </c>
      <c r="L493" s="5">
        <v>479</v>
      </c>
      <c r="M493" s="31">
        <v>10</v>
      </c>
      <c r="N493" s="5">
        <v>31</v>
      </c>
      <c r="O493" s="5">
        <v>118400</v>
      </c>
      <c r="P493" s="5" t="s">
        <v>48</v>
      </c>
      <c r="Q493" s="5"/>
      <c r="R493" s="5">
        <v>8</v>
      </c>
      <c r="S493" s="5">
        <v>800</v>
      </c>
      <c r="T493" s="5" t="s">
        <v>48</v>
      </c>
      <c r="U493" s="5" t="s">
        <v>48</v>
      </c>
      <c r="V493" s="5">
        <v>6.4</v>
      </c>
      <c r="W493" s="5" t="s">
        <v>22</v>
      </c>
      <c r="X493" s="5">
        <v>49</v>
      </c>
      <c r="Y493" s="5" t="s">
        <v>48</v>
      </c>
      <c r="Z493" s="5">
        <v>362</v>
      </c>
      <c r="AA493" s="5" t="s">
        <v>68</v>
      </c>
      <c r="AB493" s="5" t="s">
        <v>68</v>
      </c>
      <c r="AC493" s="5"/>
      <c r="AD493" s="5"/>
      <c r="AE493" s="5"/>
      <c r="AF493" s="5" t="s">
        <v>68</v>
      </c>
      <c r="AG493" s="5"/>
      <c r="AH493" s="5" t="s">
        <v>48</v>
      </c>
      <c r="AI493" s="5"/>
      <c r="AJ493" s="5"/>
      <c r="AK493" s="5"/>
      <c r="AL493" s="5"/>
      <c r="AM493" s="5"/>
      <c r="AN493" s="5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</row>
    <row r="494" spans="1:240" ht="30" customHeight="1">
      <c r="A494" s="5">
        <v>492</v>
      </c>
      <c r="B494" s="5" t="s">
        <v>68</v>
      </c>
      <c r="C494" s="5"/>
      <c r="D494" s="5"/>
      <c r="E494" s="5">
        <v>7110</v>
      </c>
      <c r="F494" s="5">
        <v>2383</v>
      </c>
      <c r="G494" s="5">
        <v>2500</v>
      </c>
      <c r="H494" s="5">
        <v>2233</v>
      </c>
      <c r="I494" s="5" t="s">
        <v>17</v>
      </c>
      <c r="J494" s="5">
        <v>108.9</v>
      </c>
      <c r="K494" s="30">
        <v>5</v>
      </c>
      <c r="L494" s="5">
        <v>582</v>
      </c>
      <c r="M494" s="31">
        <v>10</v>
      </c>
      <c r="N494" s="5">
        <v>62</v>
      </c>
      <c r="O494" s="5">
        <v>154000</v>
      </c>
      <c r="P494" s="5" t="s">
        <v>48</v>
      </c>
      <c r="Q494" s="5"/>
      <c r="R494" s="5">
        <v>10</v>
      </c>
      <c r="S494" s="5">
        <v>800</v>
      </c>
      <c r="T494" s="5" t="s">
        <v>48</v>
      </c>
      <c r="U494" s="5" t="s">
        <v>48</v>
      </c>
      <c r="V494" s="5">
        <v>8</v>
      </c>
      <c r="W494" s="5" t="s">
        <v>22</v>
      </c>
      <c r="X494" s="5">
        <v>50</v>
      </c>
      <c r="Y494" s="5" t="s">
        <v>48</v>
      </c>
      <c r="Z494" s="5">
        <v>342</v>
      </c>
      <c r="AA494" s="5" t="s">
        <v>68</v>
      </c>
      <c r="AB494" s="5" t="s">
        <v>68</v>
      </c>
      <c r="AC494" s="5"/>
      <c r="AD494" s="5"/>
      <c r="AE494" s="5"/>
      <c r="AF494" s="5" t="s">
        <v>68</v>
      </c>
      <c r="AG494" s="5"/>
      <c r="AH494" s="5" t="s">
        <v>48</v>
      </c>
      <c r="AI494" s="5"/>
      <c r="AJ494" s="5"/>
      <c r="AK494" s="5"/>
      <c r="AL494" s="5"/>
      <c r="AM494" s="5"/>
      <c r="AN494" s="5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</row>
    <row r="495" spans="1:240" ht="30" customHeight="1">
      <c r="A495" s="5">
        <v>493</v>
      </c>
      <c r="B495" s="5" t="s">
        <v>68</v>
      </c>
      <c r="C495" s="21"/>
      <c r="D495" s="5"/>
      <c r="E495" s="5">
        <v>847</v>
      </c>
      <c r="F495" s="5">
        <v>440</v>
      </c>
      <c r="G495" s="5">
        <v>763</v>
      </c>
      <c r="H495" s="5">
        <v>57</v>
      </c>
      <c r="I495" s="5" t="s">
        <v>13</v>
      </c>
      <c r="J495" s="5">
        <v>1.7969999999999999</v>
      </c>
      <c r="K495" s="30">
        <v>5</v>
      </c>
      <c r="L495" s="5">
        <v>10</v>
      </c>
      <c r="M495" s="32">
        <v>5</v>
      </c>
      <c r="N495" s="5">
        <v>16.2</v>
      </c>
      <c r="O495" s="5" t="s">
        <v>48</v>
      </c>
      <c r="P495" s="5" t="s">
        <v>48</v>
      </c>
      <c r="Q495" s="5" t="s">
        <v>48</v>
      </c>
      <c r="R495" s="5">
        <v>1</v>
      </c>
      <c r="S495" s="5" t="s">
        <v>48</v>
      </c>
      <c r="T495" s="5" t="s">
        <v>48</v>
      </c>
      <c r="U495" s="5" t="s">
        <v>48</v>
      </c>
      <c r="V495" s="5">
        <v>0.5</v>
      </c>
      <c r="W495" s="5" t="s">
        <v>23</v>
      </c>
      <c r="X495" s="5">
        <v>48</v>
      </c>
      <c r="Y495" s="5" t="s">
        <v>48</v>
      </c>
      <c r="Z495" s="5" t="s">
        <v>48</v>
      </c>
      <c r="AA495" s="5" t="s">
        <v>68</v>
      </c>
      <c r="AB495" s="5"/>
      <c r="AC495" s="5"/>
      <c r="AD495" s="5"/>
      <c r="AE495" s="5"/>
      <c r="AF495" s="5" t="s">
        <v>68</v>
      </c>
      <c r="AG495" s="5"/>
      <c r="AH495" s="5" t="s">
        <v>48</v>
      </c>
      <c r="AI495" s="5"/>
      <c r="AJ495" s="5"/>
      <c r="AK495" s="5"/>
      <c r="AL495" s="5"/>
      <c r="AM495" s="5"/>
      <c r="AN495" s="5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</row>
    <row r="496" spans="1:240" ht="30" customHeight="1">
      <c r="A496" s="5">
        <v>494</v>
      </c>
      <c r="B496" s="5" t="s">
        <v>68</v>
      </c>
      <c r="C496" s="5"/>
      <c r="D496" s="5"/>
      <c r="E496" s="5">
        <v>1682</v>
      </c>
      <c r="F496" s="5">
        <v>440</v>
      </c>
      <c r="G496" s="5">
        <v>763</v>
      </c>
      <c r="H496" s="5">
        <v>109</v>
      </c>
      <c r="I496" s="5" t="s">
        <v>13</v>
      </c>
      <c r="J496" s="5">
        <v>3.47</v>
      </c>
      <c r="K496" s="30">
        <v>5</v>
      </c>
      <c r="L496" s="5">
        <v>20</v>
      </c>
      <c r="M496" s="32">
        <v>5</v>
      </c>
      <c r="N496" s="5">
        <v>26.7</v>
      </c>
      <c r="O496" s="5" t="s">
        <v>48</v>
      </c>
      <c r="P496" s="5" t="s">
        <v>48</v>
      </c>
      <c r="Q496" s="5" t="s">
        <v>48</v>
      </c>
      <c r="R496" s="5">
        <v>2</v>
      </c>
      <c r="S496" s="5" t="s">
        <v>48</v>
      </c>
      <c r="T496" s="5" t="s">
        <v>48</v>
      </c>
      <c r="U496" s="5" t="s">
        <v>48</v>
      </c>
      <c r="V496" s="5">
        <v>1</v>
      </c>
      <c r="W496" s="5" t="s">
        <v>24</v>
      </c>
      <c r="X496" s="5">
        <v>51</v>
      </c>
      <c r="Y496" s="5" t="s">
        <v>48</v>
      </c>
      <c r="Z496" s="5" t="s">
        <v>48</v>
      </c>
      <c r="AA496" s="5" t="s">
        <v>68</v>
      </c>
      <c r="AB496" s="5"/>
      <c r="AC496" s="5"/>
      <c r="AD496" s="5"/>
      <c r="AE496" s="5"/>
      <c r="AF496" s="5" t="s">
        <v>68</v>
      </c>
      <c r="AG496" s="5"/>
      <c r="AH496" s="5" t="s">
        <v>48</v>
      </c>
      <c r="AI496" s="5"/>
      <c r="AJ496" s="5"/>
      <c r="AK496" s="5"/>
      <c r="AL496" s="5"/>
      <c r="AM496" s="5"/>
      <c r="AN496" s="5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</row>
    <row r="497" spans="1:240" ht="30" customHeight="1">
      <c r="A497" s="5">
        <v>495</v>
      </c>
      <c r="B497" s="5" t="s">
        <v>68</v>
      </c>
      <c r="C497" s="5"/>
      <c r="D497" s="5"/>
      <c r="E497" s="5">
        <v>2145</v>
      </c>
      <c r="F497" s="5">
        <v>779</v>
      </c>
      <c r="G497" s="5">
        <v>1364</v>
      </c>
      <c r="H497" s="5">
        <v>413</v>
      </c>
      <c r="I497" s="5" t="s">
        <v>13</v>
      </c>
      <c r="J497" s="5">
        <v>5.3150000000000004</v>
      </c>
      <c r="K497" s="30">
        <v>5</v>
      </c>
      <c r="L497" s="5">
        <v>31</v>
      </c>
      <c r="M497" s="32">
        <v>5</v>
      </c>
      <c r="N497" s="5">
        <v>33.700000000000003</v>
      </c>
      <c r="O497" s="5" t="s">
        <v>48</v>
      </c>
      <c r="P497" s="5" t="s">
        <v>48</v>
      </c>
      <c r="Q497" s="5" t="s">
        <v>48</v>
      </c>
      <c r="R497" s="5">
        <v>1</v>
      </c>
      <c r="S497" s="5" t="s">
        <v>48</v>
      </c>
      <c r="T497" s="5" t="s">
        <v>48</v>
      </c>
      <c r="U497" s="5" t="s">
        <v>48</v>
      </c>
      <c r="V497" s="5">
        <v>2</v>
      </c>
      <c r="W497" s="5" t="s">
        <v>10</v>
      </c>
      <c r="X497" s="5">
        <v>60</v>
      </c>
      <c r="Y497" s="5" t="s">
        <v>48</v>
      </c>
      <c r="Z497" s="5" t="s">
        <v>48</v>
      </c>
      <c r="AA497" s="5" t="s">
        <v>68</v>
      </c>
      <c r="AB497" s="5"/>
      <c r="AC497" s="5"/>
      <c r="AD497" s="5"/>
      <c r="AE497" s="5"/>
      <c r="AF497" s="5" t="s">
        <v>68</v>
      </c>
      <c r="AG497" s="5"/>
      <c r="AH497" s="5" t="s">
        <v>48</v>
      </c>
      <c r="AI497" s="5"/>
      <c r="AJ497" s="5"/>
      <c r="AK497" s="5"/>
      <c r="AL497" s="5"/>
      <c r="AM497" s="5"/>
      <c r="AN497" s="5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</row>
    <row r="498" spans="1:240" ht="30" customHeight="1">
      <c r="A498" s="5">
        <v>496</v>
      </c>
      <c r="B498" s="5" t="s">
        <v>68</v>
      </c>
      <c r="C498" s="5"/>
      <c r="D498" s="5"/>
      <c r="E498" s="5">
        <v>2145</v>
      </c>
      <c r="F498" s="5">
        <v>779</v>
      </c>
      <c r="G498" s="5">
        <v>1364</v>
      </c>
      <c r="H498" s="5">
        <v>423</v>
      </c>
      <c r="I498" s="5" t="s">
        <v>13</v>
      </c>
      <c r="J498" s="5">
        <v>7.0519999999999996</v>
      </c>
      <c r="K498" s="30">
        <v>5</v>
      </c>
      <c r="L498" s="5">
        <v>41</v>
      </c>
      <c r="M498" s="32">
        <v>5</v>
      </c>
      <c r="N498" s="5">
        <v>36.700000000000003</v>
      </c>
      <c r="O498" s="5" t="s">
        <v>48</v>
      </c>
      <c r="P498" s="5" t="s">
        <v>48</v>
      </c>
      <c r="Q498" s="5" t="s">
        <v>48</v>
      </c>
      <c r="R498" s="5">
        <v>1</v>
      </c>
      <c r="S498" s="5" t="s">
        <v>48</v>
      </c>
      <c r="T498" s="5" t="s">
        <v>48</v>
      </c>
      <c r="U498" s="5" t="s">
        <v>48</v>
      </c>
      <c r="V498" s="5">
        <v>2</v>
      </c>
      <c r="W498" s="5" t="s">
        <v>10</v>
      </c>
      <c r="X498" s="5">
        <v>59</v>
      </c>
      <c r="Y498" s="5" t="s">
        <v>48</v>
      </c>
      <c r="Z498" s="5" t="s">
        <v>48</v>
      </c>
      <c r="AA498" s="5" t="s">
        <v>68</v>
      </c>
      <c r="AB498" s="5"/>
      <c r="AC498" s="5"/>
      <c r="AD498" s="5"/>
      <c r="AE498" s="5"/>
      <c r="AF498" s="5" t="s">
        <v>68</v>
      </c>
      <c r="AG498" s="5"/>
      <c r="AH498" s="5" t="s">
        <v>48</v>
      </c>
      <c r="AI498" s="5"/>
      <c r="AJ498" s="5"/>
      <c r="AK498" s="5"/>
      <c r="AL498" s="5"/>
      <c r="AM498" s="5"/>
      <c r="AN498" s="5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</row>
    <row r="499" spans="1:240" ht="30" customHeight="1">
      <c r="A499" s="5">
        <v>497</v>
      </c>
      <c r="B499" s="5" t="s">
        <v>68</v>
      </c>
      <c r="C499" s="5"/>
      <c r="D499" s="5"/>
      <c r="E499" s="5">
        <v>2145</v>
      </c>
      <c r="F499" s="5">
        <v>779</v>
      </c>
      <c r="G499" s="5">
        <v>1364</v>
      </c>
      <c r="H499" s="5">
        <v>433</v>
      </c>
      <c r="I499" s="5" t="s">
        <v>13</v>
      </c>
      <c r="J499" s="5">
        <v>8.5220000000000002</v>
      </c>
      <c r="K499" s="30">
        <v>5</v>
      </c>
      <c r="L499" s="5">
        <v>49</v>
      </c>
      <c r="M499" s="32">
        <v>5</v>
      </c>
      <c r="N499" s="5">
        <v>38.4</v>
      </c>
      <c r="O499" s="5" t="s">
        <v>48</v>
      </c>
      <c r="P499" s="5" t="s">
        <v>48</v>
      </c>
      <c r="Q499" s="5" t="s">
        <v>48</v>
      </c>
      <c r="R499" s="5">
        <v>1</v>
      </c>
      <c r="S499" s="5" t="s">
        <v>48</v>
      </c>
      <c r="T499" s="5" t="s">
        <v>48</v>
      </c>
      <c r="U499" s="5" t="s">
        <v>48</v>
      </c>
      <c r="V499" s="5">
        <v>2</v>
      </c>
      <c r="W499" s="5" t="s">
        <v>10</v>
      </c>
      <c r="X499" s="5">
        <v>58</v>
      </c>
      <c r="Y499" s="5" t="s">
        <v>48</v>
      </c>
      <c r="Z499" s="5" t="s">
        <v>48</v>
      </c>
      <c r="AA499" s="5" t="s">
        <v>68</v>
      </c>
      <c r="AB499" s="5"/>
      <c r="AC499" s="5"/>
      <c r="AD499" s="5"/>
      <c r="AE499" s="5"/>
      <c r="AF499" s="5" t="s">
        <v>68</v>
      </c>
      <c r="AG499" s="5"/>
      <c r="AH499" s="5" t="s">
        <v>48</v>
      </c>
      <c r="AI499" s="5"/>
      <c r="AJ499" s="5"/>
      <c r="AK499" s="5"/>
      <c r="AL499" s="5"/>
      <c r="AM499" s="5"/>
      <c r="AN499" s="5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</row>
    <row r="500" spans="1:240" ht="30" customHeight="1">
      <c r="A500" s="5">
        <v>498</v>
      </c>
      <c r="B500" s="5" t="s">
        <v>68</v>
      </c>
      <c r="C500" s="5"/>
      <c r="D500" s="5"/>
      <c r="E500" s="5">
        <v>3042</v>
      </c>
      <c r="F500" s="5">
        <v>779</v>
      </c>
      <c r="G500" s="5">
        <v>1364</v>
      </c>
      <c r="H500" s="5">
        <v>562</v>
      </c>
      <c r="I500" s="5" t="s">
        <v>13</v>
      </c>
      <c r="J500" s="5">
        <v>11.898999999999999</v>
      </c>
      <c r="K500" s="30">
        <v>5</v>
      </c>
      <c r="L500" s="5">
        <v>69</v>
      </c>
      <c r="M500" s="32">
        <v>5</v>
      </c>
      <c r="N500" s="5">
        <v>60</v>
      </c>
      <c r="O500" s="5" t="s">
        <v>48</v>
      </c>
      <c r="P500" s="5" t="s">
        <v>48</v>
      </c>
      <c r="Q500" s="5" t="s">
        <v>48</v>
      </c>
      <c r="R500" s="5">
        <v>2</v>
      </c>
      <c r="S500" s="5" t="s">
        <v>48</v>
      </c>
      <c r="T500" s="5" t="s">
        <v>48</v>
      </c>
      <c r="U500" s="5" t="s">
        <v>48</v>
      </c>
      <c r="V500" s="5">
        <v>4</v>
      </c>
      <c r="W500" s="5" t="s">
        <v>10</v>
      </c>
      <c r="X500" s="5">
        <v>62</v>
      </c>
      <c r="Y500" s="5" t="s">
        <v>48</v>
      </c>
      <c r="Z500" s="5" t="s">
        <v>48</v>
      </c>
      <c r="AA500" s="5" t="s">
        <v>68</v>
      </c>
      <c r="AB500" s="5"/>
      <c r="AC500" s="5"/>
      <c r="AD500" s="5"/>
      <c r="AE500" s="5"/>
      <c r="AF500" s="5" t="s">
        <v>68</v>
      </c>
      <c r="AG500" s="5"/>
      <c r="AH500" s="5"/>
      <c r="AI500" s="5"/>
      <c r="AJ500" s="5"/>
      <c r="AK500" s="5"/>
      <c r="AL500" s="5"/>
      <c r="AM500" s="5"/>
      <c r="AN500" s="5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</row>
    <row r="501" spans="1:240" ht="30" customHeight="1">
      <c r="A501" s="5">
        <v>499</v>
      </c>
      <c r="B501" s="5" t="s">
        <v>68</v>
      </c>
      <c r="C501" s="5"/>
      <c r="D501" s="5"/>
      <c r="E501" s="5">
        <v>3959</v>
      </c>
      <c r="F501" s="5">
        <v>779</v>
      </c>
      <c r="G501" s="5">
        <v>1364</v>
      </c>
      <c r="H501" s="5">
        <v>679</v>
      </c>
      <c r="I501" s="5" t="s">
        <v>13</v>
      </c>
      <c r="J501" s="5">
        <v>16.821000000000002</v>
      </c>
      <c r="K501" s="30">
        <v>5</v>
      </c>
      <c r="L501" s="5">
        <v>97</v>
      </c>
      <c r="M501" s="32">
        <v>5</v>
      </c>
      <c r="N501" s="5">
        <v>34.1</v>
      </c>
      <c r="O501" s="5" t="s">
        <v>48</v>
      </c>
      <c r="P501" s="5" t="s">
        <v>48</v>
      </c>
      <c r="Q501" s="5" t="s">
        <v>48</v>
      </c>
      <c r="R501" s="5">
        <v>2</v>
      </c>
      <c r="S501" s="5" t="s">
        <v>48</v>
      </c>
      <c r="T501" s="5" t="s">
        <v>48</v>
      </c>
      <c r="U501" s="5" t="s">
        <v>48</v>
      </c>
      <c r="V501" s="5">
        <v>4</v>
      </c>
      <c r="W501" s="5" t="s">
        <v>10</v>
      </c>
      <c r="X501" s="5">
        <v>61</v>
      </c>
      <c r="Y501" s="5" t="s">
        <v>48</v>
      </c>
      <c r="Z501" s="5" t="s">
        <v>48</v>
      </c>
      <c r="AA501" s="5" t="s">
        <v>68</v>
      </c>
      <c r="AB501" s="5"/>
      <c r="AC501" s="5"/>
      <c r="AD501" s="5"/>
      <c r="AE501" s="5"/>
      <c r="AF501" s="5" t="s">
        <v>68</v>
      </c>
      <c r="AG501" s="5"/>
      <c r="AH501" s="5"/>
      <c r="AI501" s="5"/>
      <c r="AJ501" s="5"/>
      <c r="AK501" s="5"/>
      <c r="AL501" s="5"/>
      <c r="AM501" s="5"/>
      <c r="AN501" s="5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</row>
    <row r="502" spans="1:240" ht="30" customHeight="1">
      <c r="A502" s="5">
        <v>500</v>
      </c>
      <c r="B502" s="5" t="s">
        <v>68</v>
      </c>
      <c r="C502" s="5"/>
      <c r="D502" s="5"/>
      <c r="E502" s="5">
        <v>4860</v>
      </c>
      <c r="F502" s="5">
        <v>779</v>
      </c>
      <c r="G502" s="5">
        <v>1364</v>
      </c>
      <c r="H502" s="5">
        <v>821</v>
      </c>
      <c r="I502" s="5" t="s">
        <v>13</v>
      </c>
      <c r="J502" s="5">
        <v>23.126000000000001</v>
      </c>
      <c r="K502" s="30">
        <v>5</v>
      </c>
      <c r="L502" s="5">
        <v>133</v>
      </c>
      <c r="M502" s="32">
        <v>5</v>
      </c>
      <c r="N502" s="5">
        <v>63.9</v>
      </c>
      <c r="O502" s="5" t="s">
        <v>48</v>
      </c>
      <c r="P502" s="5" t="s">
        <v>48</v>
      </c>
      <c r="Q502" s="5" t="s">
        <v>48</v>
      </c>
      <c r="R502" s="5">
        <v>3</v>
      </c>
      <c r="S502" s="5" t="s">
        <v>48</v>
      </c>
      <c r="T502" s="5" t="s">
        <v>48</v>
      </c>
      <c r="U502" s="5" t="s">
        <v>48</v>
      </c>
      <c r="V502" s="5">
        <v>6</v>
      </c>
      <c r="W502" s="5" t="s">
        <v>10</v>
      </c>
      <c r="X502" s="5">
        <v>63</v>
      </c>
      <c r="Y502" s="5" t="s">
        <v>48</v>
      </c>
      <c r="Z502" s="5" t="s">
        <v>48</v>
      </c>
      <c r="AA502" s="5" t="s">
        <v>68</v>
      </c>
      <c r="AB502" s="5"/>
      <c r="AC502" s="5"/>
      <c r="AD502" s="5"/>
      <c r="AE502" s="5"/>
      <c r="AF502" s="5" t="s">
        <v>68</v>
      </c>
      <c r="AG502" s="5"/>
      <c r="AH502" s="5"/>
      <c r="AI502" s="5"/>
      <c r="AJ502" s="5"/>
      <c r="AK502" s="5"/>
      <c r="AL502" s="5"/>
      <c r="AM502" s="5"/>
      <c r="AN502" s="5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</row>
    <row r="503" spans="1:240" ht="30" customHeight="1">
      <c r="A503" s="5">
        <v>501</v>
      </c>
      <c r="B503" s="5" t="s">
        <v>68</v>
      </c>
      <c r="C503" s="5"/>
      <c r="D503" s="5"/>
      <c r="E503" s="5">
        <v>4390</v>
      </c>
      <c r="F503" s="5">
        <v>1510</v>
      </c>
      <c r="G503" s="5">
        <v>1485</v>
      </c>
      <c r="H503" s="5">
        <v>1064</v>
      </c>
      <c r="I503" s="5" t="s">
        <v>13</v>
      </c>
      <c r="J503" s="5">
        <v>33.822000000000003</v>
      </c>
      <c r="K503" s="30">
        <v>5</v>
      </c>
      <c r="L503" s="5">
        <v>195</v>
      </c>
      <c r="M503" s="32">
        <v>5</v>
      </c>
      <c r="N503" s="5">
        <v>33</v>
      </c>
      <c r="O503" s="5" t="s">
        <v>48</v>
      </c>
      <c r="P503" s="5" t="s">
        <v>48</v>
      </c>
      <c r="Q503" s="5" t="s">
        <v>48</v>
      </c>
      <c r="R503" s="5">
        <v>4</v>
      </c>
      <c r="S503" s="5" t="s">
        <v>48</v>
      </c>
      <c r="T503" s="5" t="s">
        <v>48</v>
      </c>
      <c r="U503" s="5" t="s">
        <v>48</v>
      </c>
      <c r="V503" s="5">
        <v>8</v>
      </c>
      <c r="W503" s="5" t="s">
        <v>10</v>
      </c>
      <c r="X503" s="5">
        <v>64</v>
      </c>
      <c r="Y503" s="5" t="s">
        <v>48</v>
      </c>
      <c r="Z503" s="5" t="s">
        <v>48</v>
      </c>
      <c r="AA503" s="5" t="s">
        <v>68</v>
      </c>
      <c r="AB503" s="5"/>
      <c r="AC503" s="5"/>
      <c r="AD503" s="5"/>
      <c r="AE503" s="5"/>
      <c r="AF503" s="5" t="s">
        <v>68</v>
      </c>
      <c r="AG503" s="5"/>
      <c r="AH503" s="5"/>
      <c r="AI503" s="5"/>
      <c r="AJ503" s="5"/>
      <c r="AK503" s="5"/>
      <c r="AL503" s="5"/>
      <c r="AM503" s="5"/>
      <c r="AN503" s="5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</row>
    <row r="504" spans="1:240" ht="30" customHeight="1">
      <c r="A504" s="5">
        <v>502</v>
      </c>
      <c r="B504" s="5" t="s">
        <v>68</v>
      </c>
      <c r="C504" s="5"/>
      <c r="D504" s="5"/>
      <c r="E504" s="5">
        <v>5295</v>
      </c>
      <c r="F504" s="5">
        <v>1510</v>
      </c>
      <c r="G504" s="5">
        <v>1485</v>
      </c>
      <c r="H504" s="5">
        <v>1271</v>
      </c>
      <c r="I504" s="5" t="s">
        <v>13</v>
      </c>
      <c r="J504" s="5">
        <v>43.079000000000001</v>
      </c>
      <c r="K504" s="30">
        <v>5</v>
      </c>
      <c r="L504" s="5">
        <v>248</v>
      </c>
      <c r="M504" s="32">
        <v>5</v>
      </c>
      <c r="N504" s="5">
        <v>53</v>
      </c>
      <c r="O504" s="5" t="s">
        <v>48</v>
      </c>
      <c r="P504" s="5" t="s">
        <v>48</v>
      </c>
      <c r="Q504" s="5" t="s">
        <v>48</v>
      </c>
      <c r="R504" s="5">
        <v>5</v>
      </c>
      <c r="S504" s="5" t="s">
        <v>48</v>
      </c>
      <c r="T504" s="5" t="s">
        <v>48</v>
      </c>
      <c r="U504" s="5" t="s">
        <v>48</v>
      </c>
      <c r="V504" s="5">
        <v>10</v>
      </c>
      <c r="W504" s="5" t="s">
        <v>10</v>
      </c>
      <c r="X504" s="5">
        <v>65</v>
      </c>
      <c r="Y504" s="5" t="s">
        <v>48</v>
      </c>
      <c r="Z504" s="5" t="s">
        <v>48</v>
      </c>
      <c r="AA504" s="5" t="s">
        <v>68</v>
      </c>
      <c r="AB504" s="5"/>
      <c r="AC504" s="5"/>
      <c r="AD504" s="5"/>
      <c r="AE504" s="5"/>
      <c r="AF504" s="5" t="s">
        <v>68</v>
      </c>
      <c r="AG504" s="5"/>
      <c r="AH504" s="5"/>
      <c r="AI504" s="5"/>
      <c r="AJ504" s="5"/>
      <c r="AK504" s="5"/>
      <c r="AL504" s="5"/>
      <c r="AM504" s="5"/>
      <c r="AN504" s="5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</row>
    <row r="505" spans="1:240" ht="30" customHeight="1">
      <c r="A505" s="5">
        <v>503</v>
      </c>
      <c r="B505" s="5" t="s">
        <v>68</v>
      </c>
      <c r="C505" s="5"/>
      <c r="D505" s="5"/>
      <c r="E505" s="5">
        <v>5295</v>
      </c>
      <c r="F505" s="5">
        <v>1510</v>
      </c>
      <c r="G505" s="5">
        <v>2085</v>
      </c>
      <c r="H505" s="5">
        <v>1543</v>
      </c>
      <c r="I505" s="5" t="s">
        <v>13</v>
      </c>
      <c r="J505" s="5">
        <v>52.783000000000001</v>
      </c>
      <c r="K505" s="30">
        <v>5</v>
      </c>
      <c r="L505" s="5">
        <v>304</v>
      </c>
      <c r="M505" s="32">
        <v>5</v>
      </c>
      <c r="N505" s="5">
        <v>39</v>
      </c>
      <c r="O505" s="5" t="s">
        <v>48</v>
      </c>
      <c r="P505" s="5" t="s">
        <v>48</v>
      </c>
      <c r="Q505" s="5" t="s">
        <v>48</v>
      </c>
      <c r="R505" s="5">
        <v>5</v>
      </c>
      <c r="S505" s="5" t="s">
        <v>48</v>
      </c>
      <c r="T505" s="5" t="s">
        <v>48</v>
      </c>
      <c r="U505" s="5" t="s">
        <v>48</v>
      </c>
      <c r="V505" s="5">
        <v>10</v>
      </c>
      <c r="W505" s="5" t="s">
        <v>10</v>
      </c>
      <c r="X505" s="5">
        <v>64</v>
      </c>
      <c r="Y505" s="5" t="s">
        <v>48</v>
      </c>
      <c r="Z505" s="5" t="s">
        <v>48</v>
      </c>
      <c r="AA505" s="5" t="s">
        <v>68</v>
      </c>
      <c r="AB505" s="5"/>
      <c r="AC505" s="5"/>
      <c r="AD505" s="5"/>
      <c r="AE505" s="5"/>
      <c r="AF505" s="5" t="s">
        <v>68</v>
      </c>
      <c r="AG505" s="5"/>
      <c r="AH505" s="5"/>
      <c r="AI505" s="5"/>
      <c r="AJ505" s="5"/>
      <c r="AK505" s="5"/>
      <c r="AL505" s="5"/>
      <c r="AM505" s="5"/>
      <c r="AN505" s="5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</row>
    <row r="506" spans="1:240" ht="30" customHeight="1">
      <c r="A506" s="5">
        <v>504</v>
      </c>
      <c r="B506" s="5" t="s">
        <v>68</v>
      </c>
      <c r="C506" s="5"/>
      <c r="D506" s="5"/>
      <c r="E506" s="5">
        <v>6200</v>
      </c>
      <c r="F506" s="5">
        <v>1510</v>
      </c>
      <c r="G506" s="5">
        <v>2085</v>
      </c>
      <c r="H506" s="5">
        <v>1803</v>
      </c>
      <c r="I506" s="5" t="s">
        <v>13</v>
      </c>
      <c r="J506" s="5">
        <v>64.653000000000006</v>
      </c>
      <c r="K506" s="30">
        <v>5</v>
      </c>
      <c r="L506" s="5">
        <v>372</v>
      </c>
      <c r="M506" s="32">
        <v>5</v>
      </c>
      <c r="N506" s="5">
        <v>66</v>
      </c>
      <c r="O506" s="5" t="s">
        <v>48</v>
      </c>
      <c r="P506" s="5" t="s">
        <v>48</v>
      </c>
      <c r="Q506" s="5" t="s">
        <v>48</v>
      </c>
      <c r="R506" s="5">
        <v>6</v>
      </c>
      <c r="S506" s="5" t="s">
        <v>48</v>
      </c>
      <c r="T506" s="5" t="s">
        <v>48</v>
      </c>
      <c r="U506" s="5" t="s">
        <v>48</v>
      </c>
      <c r="V506" s="5">
        <v>12</v>
      </c>
      <c r="W506" s="5" t="s">
        <v>10</v>
      </c>
      <c r="X506" s="5">
        <v>66</v>
      </c>
      <c r="Y506" s="5" t="s">
        <v>48</v>
      </c>
      <c r="Z506" s="5" t="s">
        <v>48</v>
      </c>
      <c r="AA506" s="5" t="s">
        <v>68</v>
      </c>
      <c r="AB506" s="5"/>
      <c r="AC506" s="5"/>
      <c r="AD506" s="5"/>
      <c r="AE506" s="5"/>
      <c r="AF506" s="5" t="s">
        <v>68</v>
      </c>
      <c r="AG506" s="5"/>
      <c r="AH506" s="5"/>
      <c r="AI506" s="5"/>
      <c r="AJ506" s="5"/>
      <c r="AK506" s="5"/>
      <c r="AL506" s="5"/>
      <c r="AM506" s="5"/>
      <c r="AN506" s="5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</row>
    <row r="507" spans="1:240" ht="30" customHeight="1">
      <c r="A507" s="5">
        <v>505</v>
      </c>
      <c r="B507" s="5" t="s">
        <v>68</v>
      </c>
      <c r="C507" s="5"/>
      <c r="D507" s="5"/>
      <c r="E507" s="5" t="s">
        <v>48</v>
      </c>
      <c r="F507" s="5" t="s">
        <v>48</v>
      </c>
      <c r="G507" s="5" t="s">
        <v>48</v>
      </c>
      <c r="H507" s="5" t="s">
        <v>25</v>
      </c>
      <c r="I507" s="5" t="s">
        <v>13</v>
      </c>
      <c r="J507" s="5" t="s">
        <v>48</v>
      </c>
      <c r="K507" s="30">
        <v>5</v>
      </c>
      <c r="L507" s="5" t="s">
        <v>26</v>
      </c>
      <c r="M507" s="31">
        <v>10</v>
      </c>
      <c r="N507" s="5" t="s">
        <v>48</v>
      </c>
      <c r="O507" s="5" t="s">
        <v>48</v>
      </c>
      <c r="P507" s="5" t="s">
        <v>48</v>
      </c>
      <c r="Q507" s="5">
        <v>2</v>
      </c>
      <c r="R507" s="5">
        <v>12</v>
      </c>
      <c r="S507" s="5">
        <v>800</v>
      </c>
      <c r="T507" s="5" t="s">
        <v>48</v>
      </c>
      <c r="U507" s="5" t="s">
        <v>48</v>
      </c>
      <c r="V507" s="5" t="s">
        <v>48</v>
      </c>
      <c r="W507" s="5" t="s">
        <v>50</v>
      </c>
      <c r="X507" s="5" t="s">
        <v>27</v>
      </c>
      <c r="Y507" s="5" t="s">
        <v>48</v>
      </c>
      <c r="Z507" s="5" t="s">
        <v>51</v>
      </c>
      <c r="AA507" s="5" t="s">
        <v>68</v>
      </c>
      <c r="AB507" s="5"/>
      <c r="AC507" s="5"/>
      <c r="AD507" s="5"/>
      <c r="AE507" s="5"/>
      <c r="AF507" s="5" t="s">
        <v>68</v>
      </c>
      <c r="AG507" s="5"/>
      <c r="AH507" s="5" t="s">
        <v>48</v>
      </c>
      <c r="AI507" s="5"/>
      <c r="AJ507" s="5"/>
      <c r="AK507" s="5"/>
      <c r="AL507" s="5"/>
      <c r="AM507" s="5"/>
      <c r="AN507" s="5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</row>
    <row r="508" spans="1:240" ht="30" customHeight="1">
      <c r="A508" s="5">
        <v>506</v>
      </c>
      <c r="B508" s="5" t="s">
        <v>68</v>
      </c>
      <c r="C508" s="5"/>
      <c r="D508" s="5"/>
      <c r="E508" s="5">
        <v>760</v>
      </c>
      <c r="F508" s="5">
        <v>620</v>
      </c>
      <c r="G508" s="5">
        <v>820</v>
      </c>
      <c r="H508" s="5" t="s">
        <v>48</v>
      </c>
      <c r="I508" s="5" t="s">
        <v>17</v>
      </c>
      <c r="J508" s="24">
        <v>0.86399888951020976</v>
      </c>
      <c r="K508" s="30">
        <v>5</v>
      </c>
      <c r="L508" s="5">
        <v>4.5999999999999996</v>
      </c>
      <c r="M508" s="31">
        <v>10</v>
      </c>
      <c r="N508" s="5" t="s">
        <v>48</v>
      </c>
      <c r="O508" s="5">
        <v>2500</v>
      </c>
      <c r="P508" s="5" t="s">
        <v>48</v>
      </c>
      <c r="Q508" s="5">
        <v>2</v>
      </c>
      <c r="R508" s="5">
        <v>1</v>
      </c>
      <c r="S508" s="5">
        <v>300</v>
      </c>
      <c r="T508" s="5" t="s">
        <v>48</v>
      </c>
      <c r="U508" s="5" t="s">
        <v>48</v>
      </c>
      <c r="V508" s="5" t="s">
        <v>48</v>
      </c>
      <c r="W508" s="5" t="s">
        <v>10</v>
      </c>
      <c r="X508" s="5">
        <v>36</v>
      </c>
      <c r="Y508" s="5" t="s">
        <v>48</v>
      </c>
      <c r="Z508" s="5" t="s">
        <v>48</v>
      </c>
      <c r="AA508" s="5" t="s">
        <v>68</v>
      </c>
      <c r="AB508" s="5"/>
      <c r="AC508" s="5"/>
      <c r="AD508" s="5"/>
      <c r="AE508" s="5" t="s">
        <v>68</v>
      </c>
      <c r="AF508" s="5"/>
      <c r="AG508" s="5"/>
      <c r="AH508" s="5" t="s">
        <v>48</v>
      </c>
      <c r="AI508" s="5"/>
      <c r="AJ508" s="5"/>
      <c r="AK508" s="5"/>
      <c r="AL508" s="5"/>
      <c r="AM508" s="5"/>
      <c r="AN508" s="5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</row>
    <row r="509" spans="1:240" ht="30" customHeight="1">
      <c r="A509" s="5">
        <v>507</v>
      </c>
      <c r="B509" s="5" t="s">
        <v>68</v>
      </c>
      <c r="C509" s="5"/>
      <c r="D509" s="5"/>
      <c r="E509" s="5">
        <v>760</v>
      </c>
      <c r="F509" s="5">
        <v>620</v>
      </c>
      <c r="G509" s="5">
        <v>820</v>
      </c>
      <c r="H509" s="5" t="s">
        <v>48</v>
      </c>
      <c r="I509" s="5" t="s">
        <v>17</v>
      </c>
      <c r="J509" s="24">
        <v>1.3899112570381638</v>
      </c>
      <c r="K509" s="30">
        <v>5</v>
      </c>
      <c r="L509" s="14">
        <v>7.4</v>
      </c>
      <c r="M509" s="31">
        <v>10</v>
      </c>
      <c r="N509" s="5" t="s">
        <v>48</v>
      </c>
      <c r="O509" s="5">
        <v>2400</v>
      </c>
      <c r="P509" s="5" t="s">
        <v>48</v>
      </c>
      <c r="Q509" s="5">
        <v>4</v>
      </c>
      <c r="R509" s="5">
        <v>1</v>
      </c>
      <c r="S509" s="5">
        <v>300</v>
      </c>
      <c r="T509" s="5" t="s">
        <v>48</v>
      </c>
      <c r="U509" s="5" t="s">
        <v>48</v>
      </c>
      <c r="V509" s="5" t="s">
        <v>48</v>
      </c>
      <c r="W509" s="5" t="s">
        <v>10</v>
      </c>
      <c r="X509" s="5">
        <v>36</v>
      </c>
      <c r="Y509" s="5" t="s">
        <v>48</v>
      </c>
      <c r="Z509" s="5" t="s">
        <v>48</v>
      </c>
      <c r="AA509" s="5" t="s">
        <v>68</v>
      </c>
      <c r="AB509" s="5"/>
      <c r="AC509" s="5"/>
      <c r="AD509" s="5"/>
      <c r="AE509" s="5" t="s">
        <v>68</v>
      </c>
      <c r="AF509" s="5"/>
      <c r="AG509" s="5"/>
      <c r="AH509" s="5" t="s">
        <v>48</v>
      </c>
      <c r="AI509" s="5"/>
      <c r="AJ509" s="5"/>
      <c r="AK509" s="5"/>
      <c r="AL509" s="5"/>
      <c r="AM509" s="5"/>
      <c r="AN509" s="5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</row>
    <row r="510" spans="1:240" ht="30" customHeight="1">
      <c r="A510" s="5">
        <v>508</v>
      </c>
      <c r="B510" s="5" t="s">
        <v>68</v>
      </c>
      <c r="C510" s="5"/>
      <c r="D510" s="5"/>
      <c r="E510" s="5">
        <v>1310</v>
      </c>
      <c r="F510" s="5">
        <v>620</v>
      </c>
      <c r="G510" s="5">
        <v>820</v>
      </c>
      <c r="H510" s="5" t="s">
        <v>48</v>
      </c>
      <c r="I510" s="5" t="s">
        <v>17</v>
      </c>
      <c r="J510" s="24">
        <v>1.7279977790204195</v>
      </c>
      <c r="K510" s="30">
        <v>5</v>
      </c>
      <c r="L510" s="5">
        <v>9.1999999999999993</v>
      </c>
      <c r="M510" s="31">
        <v>10</v>
      </c>
      <c r="N510" s="5" t="s">
        <v>48</v>
      </c>
      <c r="O510" s="5">
        <v>5000</v>
      </c>
      <c r="P510" s="5" t="s">
        <v>48</v>
      </c>
      <c r="Q510" s="5">
        <v>3</v>
      </c>
      <c r="R510" s="5">
        <v>2</v>
      </c>
      <c r="S510" s="5">
        <v>300</v>
      </c>
      <c r="T510" s="5" t="s">
        <v>48</v>
      </c>
      <c r="U510" s="5" t="s">
        <v>48</v>
      </c>
      <c r="V510" s="5" t="s">
        <v>48</v>
      </c>
      <c r="W510" s="5" t="s">
        <v>10</v>
      </c>
      <c r="X510" s="5">
        <v>39</v>
      </c>
      <c r="Y510" s="5" t="s">
        <v>48</v>
      </c>
      <c r="Z510" s="5" t="s">
        <v>48</v>
      </c>
      <c r="AA510" s="5" t="s">
        <v>68</v>
      </c>
      <c r="AB510" s="5"/>
      <c r="AC510" s="5"/>
      <c r="AD510" s="5"/>
      <c r="AE510" s="5" t="s">
        <v>68</v>
      </c>
      <c r="AF510" s="5"/>
      <c r="AG510" s="5"/>
      <c r="AH510" s="5" t="s">
        <v>48</v>
      </c>
      <c r="AI510" s="5"/>
      <c r="AJ510" s="5"/>
      <c r="AK510" s="5"/>
      <c r="AL510" s="5"/>
      <c r="AM510" s="5"/>
      <c r="AN510" s="5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</row>
    <row r="511" spans="1:240" ht="30" customHeight="1">
      <c r="A511" s="5">
        <v>509</v>
      </c>
      <c r="B511" s="5" t="s">
        <v>68</v>
      </c>
      <c r="C511" s="5"/>
      <c r="D511" s="5"/>
      <c r="E511" s="5">
        <v>1860</v>
      </c>
      <c r="F511" s="5">
        <v>620</v>
      </c>
      <c r="G511" s="5">
        <v>820</v>
      </c>
      <c r="H511" s="5" t="s">
        <v>48</v>
      </c>
      <c r="I511" s="5" t="s">
        <v>17</v>
      </c>
      <c r="J511" s="24">
        <v>2.6295618376397689</v>
      </c>
      <c r="K511" s="30">
        <v>5</v>
      </c>
      <c r="L511" s="5">
        <v>14</v>
      </c>
      <c r="M511" s="31">
        <v>10</v>
      </c>
      <c r="N511" s="5" t="s">
        <v>48</v>
      </c>
      <c r="O511" s="5">
        <v>7500</v>
      </c>
      <c r="P511" s="5" t="s">
        <v>48</v>
      </c>
      <c r="Q511" s="5">
        <v>2</v>
      </c>
      <c r="R511" s="5">
        <v>3</v>
      </c>
      <c r="S511" s="5">
        <v>300</v>
      </c>
      <c r="T511" s="5" t="s">
        <v>48</v>
      </c>
      <c r="U511" s="5" t="s">
        <v>48</v>
      </c>
      <c r="V511" s="5" t="s">
        <v>48</v>
      </c>
      <c r="W511" s="5" t="s">
        <v>10</v>
      </c>
      <c r="X511" s="5">
        <v>41</v>
      </c>
      <c r="Y511" s="5" t="s">
        <v>48</v>
      </c>
      <c r="Z511" s="5" t="s">
        <v>48</v>
      </c>
      <c r="AA511" s="5" t="s">
        <v>68</v>
      </c>
      <c r="AB511" s="5"/>
      <c r="AC511" s="5"/>
      <c r="AD511" s="5"/>
      <c r="AE511" s="5" t="s">
        <v>68</v>
      </c>
      <c r="AF511" s="5"/>
      <c r="AG511" s="5"/>
      <c r="AH511" s="5" t="s">
        <v>48</v>
      </c>
      <c r="AI511" s="5"/>
      <c r="AJ511" s="5"/>
      <c r="AK511" s="5"/>
      <c r="AL511" s="5"/>
      <c r="AM511" s="5"/>
      <c r="AN511" s="5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</row>
    <row r="512" spans="1:240" ht="30" customHeight="1">
      <c r="A512" s="5">
        <v>510</v>
      </c>
      <c r="B512" s="5" t="s">
        <v>68</v>
      </c>
      <c r="C512" s="5"/>
      <c r="D512" s="5"/>
      <c r="E512" s="5">
        <v>1310</v>
      </c>
      <c r="F512" s="5">
        <v>1200</v>
      </c>
      <c r="G512" s="5">
        <v>820</v>
      </c>
      <c r="H512" s="5" t="s">
        <v>48</v>
      </c>
      <c r="I512" s="5" t="s">
        <v>17</v>
      </c>
      <c r="J512" s="24">
        <v>3.3808652198225602</v>
      </c>
      <c r="K512" s="30">
        <v>5</v>
      </c>
      <c r="L512" s="5">
        <v>18</v>
      </c>
      <c r="M512" s="31">
        <v>10</v>
      </c>
      <c r="N512" s="5" t="s">
        <v>48</v>
      </c>
      <c r="O512" s="5">
        <v>10000</v>
      </c>
      <c r="P512" s="5" t="s">
        <v>48</v>
      </c>
      <c r="Q512" s="5">
        <v>2</v>
      </c>
      <c r="R512" s="5">
        <v>4</v>
      </c>
      <c r="S512" s="5">
        <v>300</v>
      </c>
      <c r="T512" s="5" t="s">
        <v>48</v>
      </c>
      <c r="U512" s="5" t="s">
        <v>48</v>
      </c>
      <c r="V512" s="5" t="s">
        <v>48</v>
      </c>
      <c r="W512" s="5" t="s">
        <v>10</v>
      </c>
      <c r="X512" s="5">
        <v>42</v>
      </c>
      <c r="Y512" s="5" t="s">
        <v>48</v>
      </c>
      <c r="Z512" s="5" t="s">
        <v>48</v>
      </c>
      <c r="AA512" s="5" t="s">
        <v>68</v>
      </c>
      <c r="AB512" s="5"/>
      <c r="AC512" s="5"/>
      <c r="AD512" s="5"/>
      <c r="AE512" s="5" t="s">
        <v>68</v>
      </c>
      <c r="AF512" s="5"/>
      <c r="AG512" s="5"/>
      <c r="AH512" s="5" t="s">
        <v>48</v>
      </c>
      <c r="AI512" s="5"/>
      <c r="AJ512" s="5"/>
      <c r="AK512" s="5"/>
      <c r="AL512" s="5"/>
      <c r="AM512" s="5"/>
      <c r="AN512" s="5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</row>
    <row r="513" spans="1:240" ht="30" customHeight="1">
      <c r="A513" s="5">
        <v>511</v>
      </c>
      <c r="B513" s="5" t="s">
        <v>68</v>
      </c>
      <c r="C513" s="5"/>
      <c r="D513" s="5"/>
      <c r="E513" s="5">
        <v>1860</v>
      </c>
      <c r="F513" s="5">
        <v>1200</v>
      </c>
      <c r="G513" s="5">
        <v>820</v>
      </c>
      <c r="H513" s="5" t="s">
        <v>48</v>
      </c>
      <c r="I513" s="5" t="s">
        <v>17</v>
      </c>
      <c r="J513" s="24">
        <v>5.2591236752795378</v>
      </c>
      <c r="K513" s="30">
        <v>5</v>
      </c>
      <c r="L513" s="5">
        <v>28</v>
      </c>
      <c r="M513" s="31">
        <v>10</v>
      </c>
      <c r="N513" s="5" t="s">
        <v>48</v>
      </c>
      <c r="O513" s="5">
        <v>15000</v>
      </c>
      <c r="P513" s="5" t="s">
        <v>48</v>
      </c>
      <c r="Q513" s="5">
        <v>2</v>
      </c>
      <c r="R513" s="5">
        <v>6</v>
      </c>
      <c r="S513" s="5">
        <v>300</v>
      </c>
      <c r="T513" s="5" t="s">
        <v>48</v>
      </c>
      <c r="U513" s="5" t="s">
        <v>48</v>
      </c>
      <c r="V513" s="5" t="s">
        <v>48</v>
      </c>
      <c r="W513" s="5" t="s">
        <v>10</v>
      </c>
      <c r="X513" s="5">
        <v>44</v>
      </c>
      <c r="Y513" s="5" t="s">
        <v>48</v>
      </c>
      <c r="Z513" s="5" t="s">
        <v>48</v>
      </c>
      <c r="AA513" s="5" t="s">
        <v>68</v>
      </c>
      <c r="AB513" s="5"/>
      <c r="AC513" s="5"/>
      <c r="AD513" s="5"/>
      <c r="AE513" s="5" t="s">
        <v>68</v>
      </c>
      <c r="AF513" s="5"/>
      <c r="AG513" s="5"/>
      <c r="AH513" s="5" t="s">
        <v>48</v>
      </c>
      <c r="AI513" s="5"/>
      <c r="AJ513" s="5"/>
      <c r="AK513" s="5"/>
      <c r="AL513" s="5"/>
      <c r="AM513" s="5"/>
      <c r="AN513" s="5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</row>
    <row r="514" spans="1:240" ht="30" customHeight="1">
      <c r="A514" s="5">
        <v>512</v>
      </c>
      <c r="B514" s="5" t="s">
        <v>68</v>
      </c>
      <c r="C514" s="5"/>
      <c r="D514" s="5"/>
      <c r="E514" s="5">
        <v>760</v>
      </c>
      <c r="F514" s="5">
        <v>620</v>
      </c>
      <c r="G514" s="5">
        <v>820</v>
      </c>
      <c r="H514" s="5" t="s">
        <v>48</v>
      </c>
      <c r="I514" s="5" t="s">
        <v>17</v>
      </c>
      <c r="J514" s="24">
        <v>0.67617304396451205</v>
      </c>
      <c r="K514" s="30">
        <v>5</v>
      </c>
      <c r="L514" s="5">
        <v>3.6</v>
      </c>
      <c r="M514" s="31">
        <v>10</v>
      </c>
      <c r="N514" s="5" t="s">
        <v>48</v>
      </c>
      <c r="O514" s="5">
        <v>1500</v>
      </c>
      <c r="P514" s="5" t="s">
        <v>48</v>
      </c>
      <c r="Q514" s="5">
        <v>2</v>
      </c>
      <c r="R514" s="5">
        <v>1</v>
      </c>
      <c r="S514" s="5">
        <v>300</v>
      </c>
      <c r="T514" s="5" t="s">
        <v>48</v>
      </c>
      <c r="U514" s="5" t="s">
        <v>48</v>
      </c>
      <c r="V514" s="5" t="s">
        <v>48</v>
      </c>
      <c r="W514" s="5" t="s">
        <v>10</v>
      </c>
      <c r="X514" s="5">
        <v>26</v>
      </c>
      <c r="Y514" s="5" t="s">
        <v>48</v>
      </c>
      <c r="Z514" s="5" t="s">
        <v>48</v>
      </c>
      <c r="AA514" s="5" t="s">
        <v>68</v>
      </c>
      <c r="AB514" s="5"/>
      <c r="AC514" s="5"/>
      <c r="AD514" s="5"/>
      <c r="AE514" s="5" t="s">
        <v>68</v>
      </c>
      <c r="AF514" s="5"/>
      <c r="AG514" s="5"/>
      <c r="AH514" s="5" t="s">
        <v>48</v>
      </c>
      <c r="AI514" s="5"/>
      <c r="AJ514" s="5"/>
      <c r="AK514" s="5"/>
      <c r="AL514" s="5"/>
      <c r="AM514" s="5"/>
      <c r="AN514" s="5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</row>
    <row r="515" spans="1:240" ht="30" customHeight="1">
      <c r="A515" s="5">
        <v>513</v>
      </c>
      <c r="B515" s="5" t="s">
        <v>68</v>
      </c>
      <c r="C515" s="5"/>
      <c r="D515" s="5"/>
      <c r="E515" s="5">
        <v>1310</v>
      </c>
      <c r="F515" s="5">
        <v>620</v>
      </c>
      <c r="G515" s="5">
        <v>820</v>
      </c>
      <c r="H515" s="5" t="s">
        <v>48</v>
      </c>
      <c r="I515" s="5" t="s">
        <v>17</v>
      </c>
      <c r="J515" s="24">
        <v>1.3899112570381638</v>
      </c>
      <c r="K515" s="30">
        <v>5</v>
      </c>
      <c r="L515" s="5">
        <v>7.4</v>
      </c>
      <c r="M515" s="31">
        <v>10</v>
      </c>
      <c r="N515" s="5" t="s">
        <v>48</v>
      </c>
      <c r="O515" s="5">
        <v>3000</v>
      </c>
      <c r="P515" s="5" t="s">
        <v>48</v>
      </c>
      <c r="Q515" s="5">
        <v>3</v>
      </c>
      <c r="R515" s="5">
        <v>2</v>
      </c>
      <c r="S515" s="5">
        <v>300</v>
      </c>
      <c r="T515" s="5" t="s">
        <v>48</v>
      </c>
      <c r="U515" s="5" t="s">
        <v>48</v>
      </c>
      <c r="V515" s="5" t="s">
        <v>48</v>
      </c>
      <c r="W515" s="5" t="s">
        <v>10</v>
      </c>
      <c r="X515" s="5">
        <v>29</v>
      </c>
      <c r="Y515" s="5" t="s">
        <v>48</v>
      </c>
      <c r="Z515" s="5" t="s">
        <v>48</v>
      </c>
      <c r="AA515" s="5" t="s">
        <v>68</v>
      </c>
      <c r="AB515" s="5"/>
      <c r="AC515" s="5"/>
      <c r="AD515" s="5"/>
      <c r="AE515" s="5" t="s">
        <v>68</v>
      </c>
      <c r="AF515" s="5"/>
      <c r="AG515" s="5"/>
      <c r="AH515" s="5" t="s">
        <v>48</v>
      </c>
      <c r="AI515" s="5"/>
      <c r="AJ515" s="5"/>
      <c r="AK515" s="5"/>
      <c r="AL515" s="5"/>
      <c r="AM515" s="5"/>
      <c r="AN515" s="5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</row>
    <row r="516" spans="1:240" ht="30" customHeight="1">
      <c r="A516" s="5">
        <v>514</v>
      </c>
      <c r="B516" s="5" t="s">
        <v>68</v>
      </c>
      <c r="C516" s="5"/>
      <c r="D516" s="5"/>
      <c r="E516" s="5">
        <v>1860</v>
      </c>
      <c r="F516" s="5">
        <v>620</v>
      </c>
      <c r="G516" s="5">
        <v>820</v>
      </c>
      <c r="H516" s="5" t="s">
        <v>48</v>
      </c>
      <c r="I516" s="5" t="s">
        <v>17</v>
      </c>
      <c r="J516" s="24">
        <v>2.0660843010026757</v>
      </c>
      <c r="K516" s="30">
        <v>5</v>
      </c>
      <c r="L516" s="5">
        <v>11</v>
      </c>
      <c r="M516" s="31">
        <v>10</v>
      </c>
      <c r="N516" s="5" t="s">
        <v>48</v>
      </c>
      <c r="O516" s="5">
        <v>4500</v>
      </c>
      <c r="P516" s="5" t="s">
        <v>48</v>
      </c>
      <c r="Q516" s="5">
        <v>2</v>
      </c>
      <c r="R516" s="5">
        <v>3</v>
      </c>
      <c r="S516" s="5">
        <v>300</v>
      </c>
      <c r="T516" s="5" t="s">
        <v>48</v>
      </c>
      <c r="U516" s="5" t="s">
        <v>48</v>
      </c>
      <c r="V516" s="5" t="s">
        <v>48</v>
      </c>
      <c r="W516" s="5" t="s">
        <v>10</v>
      </c>
      <c r="X516" s="5">
        <v>31</v>
      </c>
      <c r="Y516" s="5" t="s">
        <v>48</v>
      </c>
      <c r="Z516" s="5" t="s">
        <v>48</v>
      </c>
      <c r="AA516" s="5" t="s">
        <v>68</v>
      </c>
      <c r="AB516" s="5"/>
      <c r="AC516" s="5"/>
      <c r="AD516" s="5"/>
      <c r="AE516" s="5" t="s">
        <v>68</v>
      </c>
      <c r="AF516" s="5"/>
      <c r="AG516" s="5"/>
      <c r="AH516" s="5" t="s">
        <v>48</v>
      </c>
      <c r="AI516" s="5"/>
      <c r="AJ516" s="5"/>
      <c r="AK516" s="5"/>
      <c r="AL516" s="5"/>
      <c r="AM516" s="5"/>
      <c r="AN516" s="5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</row>
    <row r="517" spans="1:240" ht="30" customHeight="1">
      <c r="A517" s="5">
        <v>515</v>
      </c>
      <c r="B517" s="5" t="s">
        <v>68</v>
      </c>
      <c r="C517" s="5"/>
      <c r="D517" s="5"/>
      <c r="E517" s="5">
        <v>1310</v>
      </c>
      <c r="F517" s="5">
        <v>1200</v>
      </c>
      <c r="G517" s="5">
        <v>820</v>
      </c>
      <c r="H517" s="5" t="s">
        <v>48</v>
      </c>
      <c r="I517" s="5" t="s">
        <v>17</v>
      </c>
      <c r="J517" s="24">
        <v>2.817387683185467</v>
      </c>
      <c r="K517" s="30">
        <v>5</v>
      </c>
      <c r="L517" s="5">
        <v>15</v>
      </c>
      <c r="M517" s="31">
        <v>10</v>
      </c>
      <c r="N517" s="5" t="s">
        <v>48</v>
      </c>
      <c r="O517" s="5">
        <v>6000</v>
      </c>
      <c r="P517" s="5" t="s">
        <v>48</v>
      </c>
      <c r="Q517" s="5">
        <v>2</v>
      </c>
      <c r="R517" s="5">
        <v>4</v>
      </c>
      <c r="S517" s="5">
        <v>300</v>
      </c>
      <c r="T517" s="5" t="s">
        <v>48</v>
      </c>
      <c r="U517" s="5" t="s">
        <v>48</v>
      </c>
      <c r="V517" s="5" t="s">
        <v>48</v>
      </c>
      <c r="W517" s="5" t="s">
        <v>10</v>
      </c>
      <c r="X517" s="5">
        <v>32</v>
      </c>
      <c r="Y517" s="5" t="s">
        <v>48</v>
      </c>
      <c r="Z517" s="5" t="s">
        <v>48</v>
      </c>
      <c r="AA517" s="5" t="s">
        <v>68</v>
      </c>
      <c r="AB517" s="5"/>
      <c r="AC517" s="5"/>
      <c r="AD517" s="5"/>
      <c r="AE517" s="5" t="s">
        <v>68</v>
      </c>
      <c r="AF517" s="5"/>
      <c r="AG517" s="5"/>
      <c r="AH517" s="5" t="s">
        <v>48</v>
      </c>
      <c r="AI517" s="5"/>
      <c r="AJ517" s="5"/>
      <c r="AK517" s="5"/>
      <c r="AL517" s="5"/>
      <c r="AM517" s="5"/>
      <c r="AN517" s="5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</row>
    <row r="518" spans="1:240" ht="30" customHeight="1">
      <c r="A518" s="5">
        <v>516</v>
      </c>
      <c r="B518" s="5" t="s">
        <v>68</v>
      </c>
      <c r="C518" s="5"/>
      <c r="D518" s="5"/>
      <c r="E518" s="5">
        <v>1860</v>
      </c>
      <c r="F518" s="5">
        <v>1200</v>
      </c>
      <c r="G518" s="5">
        <v>820</v>
      </c>
      <c r="H518" s="5" t="s">
        <v>48</v>
      </c>
      <c r="I518" s="5" t="s">
        <v>17</v>
      </c>
      <c r="J518" s="24">
        <v>4.5078202930967466</v>
      </c>
      <c r="K518" s="30">
        <v>5</v>
      </c>
      <c r="L518" s="5">
        <v>24</v>
      </c>
      <c r="M518" s="31">
        <v>10</v>
      </c>
      <c r="N518" s="5" t="s">
        <v>48</v>
      </c>
      <c r="O518" s="5">
        <v>9000</v>
      </c>
      <c r="P518" s="5" t="s">
        <v>48</v>
      </c>
      <c r="Q518" s="5">
        <v>2</v>
      </c>
      <c r="R518" s="5">
        <v>6</v>
      </c>
      <c r="S518" s="5">
        <v>300</v>
      </c>
      <c r="T518" s="5" t="s">
        <v>48</v>
      </c>
      <c r="U518" s="5" t="s">
        <v>48</v>
      </c>
      <c r="V518" s="5" t="s">
        <v>48</v>
      </c>
      <c r="W518" s="5" t="s">
        <v>10</v>
      </c>
      <c r="X518" s="5">
        <v>34</v>
      </c>
      <c r="Y518" s="5" t="s">
        <v>48</v>
      </c>
      <c r="Z518" s="5" t="s">
        <v>48</v>
      </c>
      <c r="AA518" s="5" t="s">
        <v>68</v>
      </c>
      <c r="AB518" s="5"/>
      <c r="AC518" s="5"/>
      <c r="AD518" s="5"/>
      <c r="AE518" s="5" t="s">
        <v>68</v>
      </c>
      <c r="AF518" s="5"/>
      <c r="AG518" s="5"/>
      <c r="AH518" s="5" t="s">
        <v>48</v>
      </c>
      <c r="AI518" s="5"/>
      <c r="AJ518" s="5"/>
      <c r="AK518" s="5"/>
      <c r="AL518" s="5"/>
      <c r="AM518" s="5"/>
      <c r="AN518" s="5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</row>
    <row r="519" spans="1:240" ht="30" customHeight="1">
      <c r="A519" s="5">
        <v>517</v>
      </c>
      <c r="B519" s="5" t="s">
        <v>68</v>
      </c>
      <c r="C519" s="5"/>
      <c r="D519" s="5"/>
      <c r="E519" s="5">
        <v>1105</v>
      </c>
      <c r="F519" s="5">
        <v>833</v>
      </c>
      <c r="G519" s="5">
        <v>1060</v>
      </c>
      <c r="H519" s="5" t="s">
        <v>48</v>
      </c>
      <c r="I519" s="5" t="s">
        <v>17</v>
      </c>
      <c r="J519" s="24">
        <v>3.1930393742768626</v>
      </c>
      <c r="K519" s="30">
        <v>5</v>
      </c>
      <c r="L519" s="5">
        <v>17</v>
      </c>
      <c r="M519" s="31">
        <v>10</v>
      </c>
      <c r="N519" s="5" t="s">
        <v>48</v>
      </c>
      <c r="O519" s="5">
        <v>7750</v>
      </c>
      <c r="P519" s="5" t="s">
        <v>48</v>
      </c>
      <c r="Q519" s="5">
        <v>3</v>
      </c>
      <c r="R519" s="5">
        <v>1</v>
      </c>
      <c r="S519" s="5">
        <v>500</v>
      </c>
      <c r="T519" s="5" t="s">
        <v>48</v>
      </c>
      <c r="U519" s="5" t="s">
        <v>48</v>
      </c>
      <c r="V519" s="5" t="s">
        <v>48</v>
      </c>
      <c r="W519" s="5" t="s">
        <v>10</v>
      </c>
      <c r="X519" s="5">
        <v>48</v>
      </c>
      <c r="Y519" s="5" t="s">
        <v>48</v>
      </c>
      <c r="Z519" s="5" t="s">
        <v>48</v>
      </c>
      <c r="AA519" s="5" t="s">
        <v>68</v>
      </c>
      <c r="AB519" s="5"/>
      <c r="AC519" s="5"/>
      <c r="AD519" s="5"/>
      <c r="AE519" s="5" t="s">
        <v>68</v>
      </c>
      <c r="AF519" s="5"/>
      <c r="AG519" s="5"/>
      <c r="AH519" s="5" t="s">
        <v>48</v>
      </c>
      <c r="AI519" s="5"/>
      <c r="AJ519" s="5"/>
      <c r="AK519" s="5"/>
      <c r="AL519" s="5"/>
      <c r="AM519" s="5"/>
      <c r="AN519" s="5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</row>
    <row r="520" spans="1:240" ht="30" customHeight="1">
      <c r="A520" s="5">
        <v>518</v>
      </c>
      <c r="B520" s="5" t="s">
        <v>68</v>
      </c>
      <c r="C520" s="5"/>
      <c r="D520" s="5"/>
      <c r="E520" s="5">
        <v>1105</v>
      </c>
      <c r="F520" s="5">
        <v>833</v>
      </c>
      <c r="G520" s="5">
        <v>1060</v>
      </c>
      <c r="H520" s="5" t="s">
        <v>48</v>
      </c>
      <c r="I520" s="5" t="s">
        <v>17</v>
      </c>
      <c r="J520" s="24">
        <v>4.319994447551049</v>
      </c>
      <c r="K520" s="30">
        <v>5</v>
      </c>
      <c r="L520" s="5">
        <v>23</v>
      </c>
      <c r="M520" s="31">
        <v>10</v>
      </c>
      <c r="N520" s="5" t="s">
        <v>48</v>
      </c>
      <c r="O520" s="5">
        <v>7100</v>
      </c>
      <c r="P520" s="5" t="s">
        <v>48</v>
      </c>
      <c r="Q520" s="5">
        <v>5</v>
      </c>
      <c r="R520" s="5">
        <v>1</v>
      </c>
      <c r="S520" s="5">
        <v>500</v>
      </c>
      <c r="T520" s="5" t="s">
        <v>48</v>
      </c>
      <c r="U520" s="5" t="s">
        <v>48</v>
      </c>
      <c r="V520" s="5" t="s">
        <v>48</v>
      </c>
      <c r="W520" s="5" t="s">
        <v>10</v>
      </c>
      <c r="X520" s="5">
        <v>48</v>
      </c>
      <c r="Y520" s="5" t="s">
        <v>48</v>
      </c>
      <c r="Z520" s="5" t="s">
        <v>48</v>
      </c>
      <c r="AA520" s="5" t="s">
        <v>68</v>
      </c>
      <c r="AB520" s="5"/>
      <c r="AC520" s="5"/>
      <c r="AD520" s="5"/>
      <c r="AE520" s="5" t="s">
        <v>68</v>
      </c>
      <c r="AF520" s="5"/>
      <c r="AG520" s="5"/>
      <c r="AH520" s="5" t="s">
        <v>48</v>
      </c>
      <c r="AI520" s="5"/>
      <c r="AJ520" s="5"/>
      <c r="AK520" s="5"/>
      <c r="AL520" s="5"/>
      <c r="AM520" s="5"/>
      <c r="AN520" s="5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</row>
    <row r="521" spans="1:240" ht="30" customHeight="1">
      <c r="A521" s="5">
        <v>519</v>
      </c>
      <c r="B521" s="5" t="s">
        <v>68</v>
      </c>
      <c r="C521" s="5"/>
      <c r="D521" s="5"/>
      <c r="E521" s="5">
        <v>2045</v>
      </c>
      <c r="F521" s="5">
        <v>833</v>
      </c>
      <c r="G521" s="5">
        <v>1060</v>
      </c>
      <c r="H521" s="5" t="s">
        <v>48</v>
      </c>
      <c r="I521" s="5" t="s">
        <v>17</v>
      </c>
      <c r="J521" s="24">
        <v>4.8834719841881427</v>
      </c>
      <c r="K521" s="30">
        <v>5</v>
      </c>
      <c r="L521" s="5">
        <v>26</v>
      </c>
      <c r="M521" s="31">
        <v>10</v>
      </c>
      <c r="N521" s="5" t="s">
        <v>48</v>
      </c>
      <c r="O521" s="5">
        <v>16000</v>
      </c>
      <c r="P521" s="5" t="s">
        <v>48</v>
      </c>
      <c r="Q521" s="5">
        <v>2</v>
      </c>
      <c r="R521" s="5">
        <v>2</v>
      </c>
      <c r="S521" s="5">
        <v>500</v>
      </c>
      <c r="T521" s="5" t="s">
        <v>48</v>
      </c>
      <c r="U521" s="5" t="s">
        <v>48</v>
      </c>
      <c r="V521" s="5" t="s">
        <v>48</v>
      </c>
      <c r="W521" s="5" t="s">
        <v>10</v>
      </c>
      <c r="X521" s="5">
        <v>51</v>
      </c>
      <c r="Y521" s="5" t="s">
        <v>48</v>
      </c>
      <c r="Z521" s="5" t="s">
        <v>48</v>
      </c>
      <c r="AA521" s="5" t="s">
        <v>68</v>
      </c>
      <c r="AB521" s="5"/>
      <c r="AC521" s="5"/>
      <c r="AD521" s="5"/>
      <c r="AE521" s="5" t="s">
        <v>68</v>
      </c>
      <c r="AF521" s="5"/>
      <c r="AG521" s="5"/>
      <c r="AH521" s="5" t="s">
        <v>48</v>
      </c>
      <c r="AI521" s="5"/>
      <c r="AJ521" s="5"/>
      <c r="AK521" s="5"/>
      <c r="AL521" s="5"/>
      <c r="AM521" s="5"/>
      <c r="AN521" s="5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</row>
    <row r="522" spans="1:240" ht="30" customHeight="1">
      <c r="A522" s="5">
        <v>520</v>
      </c>
      <c r="B522" s="5" t="s">
        <v>68</v>
      </c>
      <c r="C522" s="5"/>
      <c r="D522" s="5"/>
      <c r="E522" s="5">
        <v>2045</v>
      </c>
      <c r="F522" s="5">
        <v>833</v>
      </c>
      <c r="G522" s="5">
        <v>1060</v>
      </c>
      <c r="H522" s="5" t="s">
        <v>48</v>
      </c>
      <c r="I522" s="5" t="s">
        <v>17</v>
      </c>
      <c r="J522" s="24">
        <v>7.8886855129193085</v>
      </c>
      <c r="K522" s="30">
        <v>5</v>
      </c>
      <c r="L522" s="5">
        <v>42</v>
      </c>
      <c r="M522" s="31">
        <v>10</v>
      </c>
      <c r="N522" s="5" t="s">
        <v>48</v>
      </c>
      <c r="O522" s="5">
        <v>14800</v>
      </c>
      <c r="P522" s="5" t="s">
        <v>48</v>
      </c>
      <c r="Q522" s="5">
        <v>4</v>
      </c>
      <c r="R522" s="5">
        <v>2</v>
      </c>
      <c r="S522" s="5">
        <v>500</v>
      </c>
      <c r="T522" s="5" t="s">
        <v>48</v>
      </c>
      <c r="U522" s="5" t="s">
        <v>48</v>
      </c>
      <c r="V522" s="5" t="s">
        <v>48</v>
      </c>
      <c r="W522" s="5" t="s">
        <v>10</v>
      </c>
      <c r="X522" s="5">
        <v>51</v>
      </c>
      <c r="Y522" s="5" t="s">
        <v>48</v>
      </c>
      <c r="Z522" s="5" t="s">
        <v>48</v>
      </c>
      <c r="AA522" s="5" t="s">
        <v>68</v>
      </c>
      <c r="AB522" s="5"/>
      <c r="AC522" s="5"/>
      <c r="AD522" s="5"/>
      <c r="AE522" s="5" t="s">
        <v>68</v>
      </c>
      <c r="AF522" s="5"/>
      <c r="AG522" s="5"/>
      <c r="AH522" s="5" t="s">
        <v>48</v>
      </c>
      <c r="AI522" s="5"/>
      <c r="AJ522" s="5"/>
      <c r="AK522" s="5"/>
      <c r="AL522" s="5"/>
      <c r="AM522" s="5"/>
      <c r="AN522" s="5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</row>
    <row r="523" spans="1:240" ht="30" customHeight="1">
      <c r="A523" s="5">
        <v>521</v>
      </c>
      <c r="B523" s="5" t="s">
        <v>68</v>
      </c>
      <c r="C523" s="5"/>
      <c r="D523" s="5"/>
      <c r="E523" s="5">
        <v>2985</v>
      </c>
      <c r="F523" s="5">
        <v>833</v>
      </c>
      <c r="G523" s="5">
        <v>1060</v>
      </c>
      <c r="H523" s="5" t="s">
        <v>48</v>
      </c>
      <c r="I523" s="5" t="s">
        <v>17</v>
      </c>
      <c r="J523" s="24">
        <v>10.14259565946768</v>
      </c>
      <c r="K523" s="30">
        <v>5</v>
      </c>
      <c r="L523" s="5">
        <v>54</v>
      </c>
      <c r="M523" s="31">
        <v>10</v>
      </c>
      <c r="N523" s="5" t="s">
        <v>48</v>
      </c>
      <c r="O523" s="5">
        <v>23250</v>
      </c>
      <c r="P523" s="5" t="s">
        <v>48</v>
      </c>
      <c r="Q523" s="5">
        <v>3</v>
      </c>
      <c r="R523" s="5">
        <v>3</v>
      </c>
      <c r="S523" s="5">
        <v>500</v>
      </c>
      <c r="T523" s="5" t="s">
        <v>48</v>
      </c>
      <c r="U523" s="5" t="s">
        <v>48</v>
      </c>
      <c r="V523" s="5" t="s">
        <v>48</v>
      </c>
      <c r="W523" s="5" t="s">
        <v>10</v>
      </c>
      <c r="X523" s="5">
        <v>53</v>
      </c>
      <c r="Y523" s="5" t="s">
        <v>48</v>
      </c>
      <c r="Z523" s="5" t="s">
        <v>48</v>
      </c>
      <c r="AA523" s="5" t="s">
        <v>68</v>
      </c>
      <c r="AB523" s="5"/>
      <c r="AC523" s="5"/>
      <c r="AD523" s="5"/>
      <c r="AE523" s="5" t="s">
        <v>68</v>
      </c>
      <c r="AF523" s="5"/>
      <c r="AG523" s="5"/>
      <c r="AH523" s="5" t="s">
        <v>48</v>
      </c>
      <c r="AI523" s="5"/>
      <c r="AJ523" s="5"/>
      <c r="AK523" s="5"/>
      <c r="AL523" s="5"/>
      <c r="AM523" s="5"/>
      <c r="AN523" s="5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</row>
    <row r="524" spans="1:240" ht="30" customHeight="1">
      <c r="A524" s="5">
        <v>522</v>
      </c>
      <c r="B524" s="5" t="s">
        <v>68</v>
      </c>
      <c r="C524" s="5"/>
      <c r="D524" s="5"/>
      <c r="E524" s="5">
        <v>3925</v>
      </c>
      <c r="F524" s="5">
        <v>833</v>
      </c>
      <c r="G524" s="5">
        <v>1060</v>
      </c>
      <c r="H524" s="5" t="s">
        <v>48</v>
      </c>
      <c r="I524" s="5" t="s">
        <v>17</v>
      </c>
      <c r="J524" s="24">
        <v>13.335635033744543</v>
      </c>
      <c r="K524" s="30">
        <v>5</v>
      </c>
      <c r="L524" s="5">
        <v>71</v>
      </c>
      <c r="M524" s="31">
        <v>10</v>
      </c>
      <c r="N524" s="5" t="s">
        <v>48</v>
      </c>
      <c r="O524" s="5">
        <v>31000</v>
      </c>
      <c r="P524" s="5" t="s">
        <v>48</v>
      </c>
      <c r="Q524" s="5">
        <v>3</v>
      </c>
      <c r="R524" s="5">
        <v>4</v>
      </c>
      <c r="S524" s="5">
        <v>500</v>
      </c>
      <c r="T524" s="5" t="s">
        <v>48</v>
      </c>
      <c r="U524" s="5" t="s">
        <v>48</v>
      </c>
      <c r="V524" s="5" t="s">
        <v>48</v>
      </c>
      <c r="W524" s="5" t="s">
        <v>10</v>
      </c>
      <c r="X524" s="5">
        <v>54</v>
      </c>
      <c r="Y524" s="5" t="s">
        <v>48</v>
      </c>
      <c r="Z524" s="5" t="s">
        <v>48</v>
      </c>
      <c r="AA524" s="5" t="s">
        <v>68</v>
      </c>
      <c r="AB524" s="5"/>
      <c r="AC524" s="5"/>
      <c r="AD524" s="5"/>
      <c r="AE524" s="5" t="s">
        <v>68</v>
      </c>
      <c r="AF524" s="5"/>
      <c r="AG524" s="5"/>
      <c r="AH524" s="5" t="s">
        <v>48</v>
      </c>
      <c r="AI524" s="5"/>
      <c r="AJ524" s="5"/>
      <c r="AK524" s="5"/>
      <c r="AL524" s="5"/>
      <c r="AM524" s="5"/>
      <c r="AN524" s="5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</row>
    <row r="525" spans="1:240" ht="30" customHeight="1">
      <c r="A525" s="5">
        <v>523</v>
      </c>
      <c r="B525" s="5" t="s">
        <v>68</v>
      </c>
      <c r="C525" s="5"/>
      <c r="D525" s="5"/>
      <c r="E525" s="5">
        <v>2985</v>
      </c>
      <c r="F525" s="5">
        <v>833</v>
      </c>
      <c r="G525" s="5">
        <v>1060</v>
      </c>
      <c r="H525" s="5" t="s">
        <v>48</v>
      </c>
      <c r="I525" s="5" t="s">
        <v>17</v>
      </c>
      <c r="J525" s="24">
        <v>20.285191318935361</v>
      </c>
      <c r="K525" s="30">
        <v>5</v>
      </c>
      <c r="L525" s="5">
        <v>108</v>
      </c>
      <c r="M525" s="31">
        <v>10</v>
      </c>
      <c r="N525" s="5" t="s">
        <v>48</v>
      </c>
      <c r="O525" s="5">
        <v>46500</v>
      </c>
      <c r="P525" s="5" t="s">
        <v>48</v>
      </c>
      <c r="Q525" s="5">
        <v>3</v>
      </c>
      <c r="R525" s="5">
        <v>6</v>
      </c>
      <c r="S525" s="5">
        <v>500</v>
      </c>
      <c r="T525" s="5" t="s">
        <v>48</v>
      </c>
      <c r="U525" s="5" t="s">
        <v>48</v>
      </c>
      <c r="V525" s="5" t="s">
        <v>48</v>
      </c>
      <c r="W525" s="5" t="s">
        <v>10</v>
      </c>
      <c r="X525" s="5">
        <v>56</v>
      </c>
      <c r="Y525" s="5" t="s">
        <v>48</v>
      </c>
      <c r="Z525" s="5" t="s">
        <v>48</v>
      </c>
      <c r="AA525" s="5" t="s">
        <v>68</v>
      </c>
      <c r="AB525" s="5"/>
      <c r="AC525" s="5"/>
      <c r="AD525" s="5"/>
      <c r="AE525" s="5" t="s">
        <v>68</v>
      </c>
      <c r="AF525" s="5"/>
      <c r="AG525" s="5"/>
      <c r="AH525" s="5" t="s">
        <v>48</v>
      </c>
      <c r="AI525" s="5"/>
      <c r="AJ525" s="5"/>
      <c r="AK525" s="5"/>
      <c r="AL525" s="5"/>
      <c r="AM525" s="5"/>
      <c r="AN525" s="5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</row>
    <row r="526" spans="1:240" ht="30" customHeight="1">
      <c r="A526" s="5">
        <v>524</v>
      </c>
      <c r="B526" s="5" t="s">
        <v>68</v>
      </c>
      <c r="C526" s="5"/>
      <c r="D526" s="5"/>
      <c r="E526" s="5">
        <v>3925</v>
      </c>
      <c r="F526" s="5">
        <v>833</v>
      </c>
      <c r="G526" s="5">
        <v>1060</v>
      </c>
      <c r="H526" s="5" t="s">
        <v>48</v>
      </c>
      <c r="I526" s="5" t="s">
        <v>17</v>
      </c>
      <c r="J526" s="24">
        <v>26.671270067489086</v>
      </c>
      <c r="K526" s="30">
        <v>5</v>
      </c>
      <c r="L526" s="5">
        <v>142</v>
      </c>
      <c r="M526" s="31">
        <v>10</v>
      </c>
      <c r="N526" s="5" t="s">
        <v>48</v>
      </c>
      <c r="O526" s="5">
        <v>62000</v>
      </c>
      <c r="P526" s="5" t="s">
        <v>48</v>
      </c>
      <c r="Q526" s="5">
        <v>3</v>
      </c>
      <c r="R526" s="5">
        <v>8</v>
      </c>
      <c r="S526" s="5">
        <v>500</v>
      </c>
      <c r="T526" s="5" t="s">
        <v>48</v>
      </c>
      <c r="U526" s="5" t="s">
        <v>48</v>
      </c>
      <c r="V526" s="5" t="s">
        <v>48</v>
      </c>
      <c r="W526" s="5" t="s">
        <v>10</v>
      </c>
      <c r="X526" s="5">
        <v>57</v>
      </c>
      <c r="Y526" s="5" t="s">
        <v>48</v>
      </c>
      <c r="Z526" s="5" t="s">
        <v>48</v>
      </c>
      <c r="AA526" s="5" t="s">
        <v>68</v>
      </c>
      <c r="AB526" s="5"/>
      <c r="AC526" s="5"/>
      <c r="AD526" s="5"/>
      <c r="AE526" s="5" t="s">
        <v>68</v>
      </c>
      <c r="AF526" s="5"/>
      <c r="AG526" s="5"/>
      <c r="AH526" s="5" t="s">
        <v>48</v>
      </c>
      <c r="AI526" s="5"/>
      <c r="AJ526" s="5"/>
      <c r="AK526" s="5"/>
      <c r="AL526" s="5"/>
      <c r="AM526" s="5"/>
      <c r="AN526" s="5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</row>
    <row r="527" spans="1:240" ht="30" customHeight="1">
      <c r="A527" s="5">
        <v>525</v>
      </c>
      <c r="B527" s="5" t="s">
        <v>68</v>
      </c>
      <c r="C527" s="5"/>
      <c r="D527" s="5"/>
      <c r="E527" s="5">
        <v>1105</v>
      </c>
      <c r="F527" s="5">
        <v>833</v>
      </c>
      <c r="G527" s="5">
        <v>1060</v>
      </c>
      <c r="H527" s="5" t="s">
        <v>48</v>
      </c>
      <c r="I527" s="5" t="s">
        <v>17</v>
      </c>
      <c r="J527" s="24">
        <v>3.005213528731165</v>
      </c>
      <c r="K527" s="30">
        <v>5</v>
      </c>
      <c r="L527" s="5">
        <v>16</v>
      </c>
      <c r="M527" s="31">
        <v>10</v>
      </c>
      <c r="N527" s="5" t="s">
        <v>48</v>
      </c>
      <c r="O527" s="5">
        <v>7360</v>
      </c>
      <c r="P527" s="5" t="s">
        <v>48</v>
      </c>
      <c r="Q527" s="5">
        <v>3</v>
      </c>
      <c r="R527" s="5">
        <v>1</v>
      </c>
      <c r="S527" s="5">
        <v>500</v>
      </c>
      <c r="T527" s="5" t="s">
        <v>48</v>
      </c>
      <c r="U527" s="5" t="s">
        <v>48</v>
      </c>
      <c r="V527" s="5" t="s">
        <v>48</v>
      </c>
      <c r="W527" s="5" t="s">
        <v>10</v>
      </c>
      <c r="X527" s="5">
        <v>45</v>
      </c>
      <c r="Y527" s="5" t="s">
        <v>48</v>
      </c>
      <c r="Z527" s="5" t="s">
        <v>48</v>
      </c>
      <c r="AA527" s="5" t="s">
        <v>68</v>
      </c>
      <c r="AB527" s="5"/>
      <c r="AC527" s="5"/>
      <c r="AD527" s="5"/>
      <c r="AE527" s="5" t="s">
        <v>68</v>
      </c>
      <c r="AF527" s="5"/>
      <c r="AG527" s="5"/>
      <c r="AH527" s="5" t="s">
        <v>48</v>
      </c>
      <c r="AI527" s="5"/>
      <c r="AJ527" s="5"/>
      <c r="AK527" s="5"/>
      <c r="AL527" s="5"/>
      <c r="AM527" s="5"/>
      <c r="AN527" s="5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</row>
    <row r="528" spans="1:240" ht="30" customHeight="1">
      <c r="A528" s="5">
        <v>526</v>
      </c>
      <c r="B528" s="5" t="s">
        <v>68</v>
      </c>
      <c r="C528" s="5"/>
      <c r="D528" s="5"/>
      <c r="E528" s="5">
        <v>2045</v>
      </c>
      <c r="F528" s="5">
        <v>833</v>
      </c>
      <c r="G528" s="5">
        <v>1060</v>
      </c>
      <c r="H528" s="5" t="s">
        <v>48</v>
      </c>
      <c r="I528" s="5" t="s">
        <v>17</v>
      </c>
      <c r="J528" s="24">
        <v>4.8834719841881427</v>
      </c>
      <c r="K528" s="30">
        <v>5</v>
      </c>
      <c r="L528" s="5">
        <v>26</v>
      </c>
      <c r="M528" s="31">
        <v>10</v>
      </c>
      <c r="N528" s="5" t="s">
        <v>48</v>
      </c>
      <c r="O528" s="5">
        <v>15200</v>
      </c>
      <c r="P528" s="5" t="s">
        <v>48</v>
      </c>
      <c r="Q528" s="5">
        <v>5</v>
      </c>
      <c r="R528" s="5">
        <v>5</v>
      </c>
      <c r="S528" s="5">
        <v>500</v>
      </c>
      <c r="T528" s="5" t="s">
        <v>48</v>
      </c>
      <c r="U528" s="5" t="s">
        <v>48</v>
      </c>
      <c r="V528" s="5" t="s">
        <v>48</v>
      </c>
      <c r="W528" s="5" t="s">
        <v>10</v>
      </c>
      <c r="X528" s="5">
        <v>48</v>
      </c>
      <c r="Y528" s="5" t="s">
        <v>48</v>
      </c>
      <c r="Z528" s="5" t="s">
        <v>48</v>
      </c>
      <c r="AA528" s="5" t="s">
        <v>68</v>
      </c>
      <c r="AB528" s="5"/>
      <c r="AC528" s="5"/>
      <c r="AD528" s="5"/>
      <c r="AE528" s="5" t="s">
        <v>68</v>
      </c>
      <c r="AF528" s="5"/>
      <c r="AG528" s="5"/>
      <c r="AH528" s="5" t="s">
        <v>48</v>
      </c>
      <c r="AI528" s="5"/>
      <c r="AJ528" s="5"/>
      <c r="AK528" s="5"/>
      <c r="AL528" s="5"/>
      <c r="AM528" s="5"/>
      <c r="AN528" s="5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</row>
    <row r="529" spans="1:240" ht="30" customHeight="1">
      <c r="A529" s="5">
        <v>527</v>
      </c>
      <c r="B529" s="5" t="s">
        <v>68</v>
      </c>
      <c r="C529" s="5"/>
      <c r="D529" s="5"/>
      <c r="E529" s="5">
        <v>2045</v>
      </c>
      <c r="F529" s="5">
        <v>833</v>
      </c>
      <c r="G529" s="5">
        <v>1060</v>
      </c>
      <c r="H529" s="5" t="s">
        <v>48</v>
      </c>
      <c r="I529" s="5" t="s">
        <v>17</v>
      </c>
      <c r="J529" s="24">
        <v>7.7008596673736092</v>
      </c>
      <c r="K529" s="30">
        <v>5</v>
      </c>
      <c r="L529" s="5">
        <v>41</v>
      </c>
      <c r="M529" s="31">
        <v>10</v>
      </c>
      <c r="N529" s="5" t="s">
        <v>48</v>
      </c>
      <c r="O529" s="5">
        <v>14060</v>
      </c>
      <c r="P529" s="5" t="s">
        <v>48</v>
      </c>
      <c r="Q529" s="5">
        <v>4</v>
      </c>
      <c r="R529" s="5">
        <v>2</v>
      </c>
      <c r="S529" s="5">
        <v>500</v>
      </c>
      <c r="T529" s="5" t="s">
        <v>48</v>
      </c>
      <c r="U529" s="5" t="s">
        <v>48</v>
      </c>
      <c r="V529" s="5" t="s">
        <v>48</v>
      </c>
      <c r="W529" s="5" t="s">
        <v>10</v>
      </c>
      <c r="X529" s="5">
        <v>48</v>
      </c>
      <c r="Y529" s="5" t="s">
        <v>48</v>
      </c>
      <c r="Z529" s="5" t="s">
        <v>48</v>
      </c>
      <c r="AA529" s="5" t="s">
        <v>68</v>
      </c>
      <c r="AB529" s="5"/>
      <c r="AC529" s="5"/>
      <c r="AD529" s="5"/>
      <c r="AE529" s="5" t="s">
        <v>68</v>
      </c>
      <c r="AF529" s="5"/>
      <c r="AG529" s="5"/>
      <c r="AH529" s="5" t="s">
        <v>48</v>
      </c>
      <c r="AI529" s="5"/>
      <c r="AJ529" s="5"/>
      <c r="AK529" s="5"/>
      <c r="AL529" s="5"/>
      <c r="AM529" s="5"/>
      <c r="AN529" s="5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</row>
    <row r="530" spans="1:240" ht="30" customHeight="1">
      <c r="A530" s="5">
        <v>528</v>
      </c>
      <c r="B530" s="5" t="s">
        <v>68</v>
      </c>
      <c r="C530" s="5"/>
      <c r="D530" s="5"/>
      <c r="E530" s="5">
        <v>2985</v>
      </c>
      <c r="F530" s="5">
        <v>833</v>
      </c>
      <c r="G530" s="5">
        <v>1060</v>
      </c>
      <c r="H530" s="5" t="s">
        <v>48</v>
      </c>
      <c r="I530" s="5" t="s">
        <v>17</v>
      </c>
      <c r="J530" s="24">
        <v>9.7669439683762853</v>
      </c>
      <c r="K530" s="30">
        <v>5</v>
      </c>
      <c r="L530" s="5">
        <v>52</v>
      </c>
      <c r="M530" s="31">
        <v>10</v>
      </c>
      <c r="N530" s="5" t="s">
        <v>48</v>
      </c>
      <c r="O530" s="5">
        <v>22080</v>
      </c>
      <c r="P530" s="5" t="s">
        <v>48</v>
      </c>
      <c r="Q530" s="5">
        <v>3</v>
      </c>
      <c r="R530" s="5">
        <v>3</v>
      </c>
      <c r="S530" s="5">
        <v>500</v>
      </c>
      <c r="T530" s="5" t="s">
        <v>48</v>
      </c>
      <c r="U530" s="5" t="s">
        <v>48</v>
      </c>
      <c r="V530" s="5" t="s">
        <v>48</v>
      </c>
      <c r="W530" s="5" t="s">
        <v>10</v>
      </c>
      <c r="X530" s="5">
        <v>50</v>
      </c>
      <c r="Y530" s="5" t="s">
        <v>48</v>
      </c>
      <c r="Z530" s="5" t="s">
        <v>48</v>
      </c>
      <c r="AA530" s="5" t="s">
        <v>68</v>
      </c>
      <c r="AB530" s="5"/>
      <c r="AC530" s="5"/>
      <c r="AD530" s="5"/>
      <c r="AE530" s="5" t="s">
        <v>68</v>
      </c>
      <c r="AF530" s="5"/>
      <c r="AG530" s="5"/>
      <c r="AH530" s="5" t="s">
        <v>48</v>
      </c>
      <c r="AI530" s="5"/>
      <c r="AJ530" s="5"/>
      <c r="AK530" s="5"/>
      <c r="AL530" s="5"/>
      <c r="AM530" s="5"/>
      <c r="AN530" s="5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</row>
    <row r="531" spans="1:240" ht="30" customHeight="1">
      <c r="A531" s="5">
        <v>529</v>
      </c>
      <c r="B531" s="5" t="s">
        <v>68</v>
      </c>
      <c r="C531" s="5"/>
      <c r="D531" s="5"/>
      <c r="E531" s="5">
        <v>3925</v>
      </c>
      <c r="F531" s="5">
        <v>833</v>
      </c>
      <c r="G531" s="5">
        <v>1060</v>
      </c>
      <c r="H531" s="5" t="s">
        <v>48</v>
      </c>
      <c r="I531" s="5" t="s">
        <v>17</v>
      </c>
      <c r="J531" s="24">
        <v>12.959983342653146</v>
      </c>
      <c r="K531" s="30">
        <v>5</v>
      </c>
      <c r="L531" s="5">
        <v>69</v>
      </c>
      <c r="M531" s="31">
        <v>10</v>
      </c>
      <c r="N531" s="5" t="s">
        <v>48</v>
      </c>
      <c r="O531" s="5">
        <v>29440</v>
      </c>
      <c r="P531" s="5" t="s">
        <v>48</v>
      </c>
      <c r="Q531" s="5">
        <v>3</v>
      </c>
      <c r="R531" s="5">
        <v>4</v>
      </c>
      <c r="S531" s="5">
        <v>500</v>
      </c>
      <c r="T531" s="5" t="s">
        <v>48</v>
      </c>
      <c r="U531" s="5" t="s">
        <v>48</v>
      </c>
      <c r="V531" s="5" t="s">
        <v>48</v>
      </c>
      <c r="W531" s="5" t="s">
        <v>10</v>
      </c>
      <c r="X531" s="5">
        <v>51</v>
      </c>
      <c r="Y531" s="5" t="s">
        <v>48</v>
      </c>
      <c r="Z531" s="5" t="s">
        <v>48</v>
      </c>
      <c r="AA531" s="5" t="s">
        <v>68</v>
      </c>
      <c r="AB531" s="5"/>
      <c r="AC531" s="5"/>
      <c r="AD531" s="5"/>
      <c r="AE531" s="5" t="s">
        <v>68</v>
      </c>
      <c r="AF531" s="5"/>
      <c r="AG531" s="5"/>
      <c r="AH531" s="5" t="s">
        <v>48</v>
      </c>
      <c r="AI531" s="5"/>
      <c r="AJ531" s="5"/>
      <c r="AK531" s="5"/>
      <c r="AL531" s="5"/>
      <c r="AM531" s="5"/>
      <c r="AN531" s="5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</row>
    <row r="532" spans="1:240" ht="30" customHeight="1">
      <c r="A532" s="5">
        <v>530</v>
      </c>
      <c r="B532" s="5" t="s">
        <v>68</v>
      </c>
      <c r="C532" s="5"/>
      <c r="D532" s="5"/>
      <c r="E532" s="5">
        <v>2985</v>
      </c>
      <c r="F532" s="5">
        <v>833</v>
      </c>
      <c r="G532" s="5">
        <v>1060</v>
      </c>
      <c r="H532" s="5" t="s">
        <v>48</v>
      </c>
      <c r="I532" s="5" t="s">
        <v>17</v>
      </c>
      <c r="J532" s="24">
        <v>19.533887936752571</v>
      </c>
      <c r="K532" s="30">
        <v>5</v>
      </c>
      <c r="L532" s="5">
        <v>104</v>
      </c>
      <c r="M532" s="31">
        <v>10</v>
      </c>
      <c r="N532" s="5" t="s">
        <v>48</v>
      </c>
      <c r="O532" s="5">
        <v>44160</v>
      </c>
      <c r="P532" s="5" t="s">
        <v>48</v>
      </c>
      <c r="Q532" s="5">
        <v>3</v>
      </c>
      <c r="R532" s="5">
        <v>6</v>
      </c>
      <c r="S532" s="5">
        <v>500</v>
      </c>
      <c r="T532" s="5" t="s">
        <v>48</v>
      </c>
      <c r="U532" s="5" t="s">
        <v>48</v>
      </c>
      <c r="V532" s="5" t="s">
        <v>48</v>
      </c>
      <c r="W532" s="5" t="s">
        <v>10</v>
      </c>
      <c r="X532" s="5">
        <v>53</v>
      </c>
      <c r="Y532" s="5" t="s">
        <v>48</v>
      </c>
      <c r="Z532" s="5" t="s">
        <v>48</v>
      </c>
      <c r="AA532" s="5" t="s">
        <v>68</v>
      </c>
      <c r="AB532" s="5"/>
      <c r="AC532" s="5"/>
      <c r="AD532" s="5"/>
      <c r="AE532" s="5" t="s">
        <v>68</v>
      </c>
      <c r="AF532" s="5"/>
      <c r="AG532" s="5"/>
      <c r="AH532" s="5" t="s">
        <v>48</v>
      </c>
      <c r="AI532" s="5"/>
      <c r="AJ532" s="5"/>
      <c r="AK532" s="5"/>
      <c r="AL532" s="5"/>
      <c r="AM532" s="5"/>
      <c r="AN532" s="5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</row>
    <row r="533" spans="1:240" ht="30" customHeight="1">
      <c r="A533" s="5">
        <v>531</v>
      </c>
      <c r="B533" s="5" t="s">
        <v>68</v>
      </c>
      <c r="C533" s="5"/>
      <c r="D533" s="5"/>
      <c r="E533" s="5">
        <v>3925</v>
      </c>
      <c r="F533" s="5">
        <v>833</v>
      </c>
      <c r="G533" s="5">
        <v>1060</v>
      </c>
      <c r="H533" s="5" t="s">
        <v>48</v>
      </c>
      <c r="I533" s="5" t="s">
        <v>17</v>
      </c>
      <c r="J533" s="24">
        <v>25.732140839760596</v>
      </c>
      <c r="K533" s="30">
        <v>5</v>
      </c>
      <c r="L533" s="5">
        <v>137</v>
      </c>
      <c r="M533" s="31">
        <v>10</v>
      </c>
      <c r="N533" s="5" t="s">
        <v>48</v>
      </c>
      <c r="O533" s="5">
        <v>58880</v>
      </c>
      <c r="P533" s="5" t="s">
        <v>48</v>
      </c>
      <c r="Q533" s="5">
        <v>3</v>
      </c>
      <c r="R533" s="5">
        <v>8</v>
      </c>
      <c r="S533" s="5">
        <v>500</v>
      </c>
      <c r="T533" s="5" t="s">
        <v>48</v>
      </c>
      <c r="U533" s="5" t="s">
        <v>48</v>
      </c>
      <c r="V533" s="5" t="s">
        <v>48</v>
      </c>
      <c r="W533" s="5" t="s">
        <v>10</v>
      </c>
      <c r="X533" s="5">
        <v>54</v>
      </c>
      <c r="Y533" s="5" t="s">
        <v>48</v>
      </c>
      <c r="Z533" s="5" t="s">
        <v>48</v>
      </c>
      <c r="AA533" s="5" t="s">
        <v>68</v>
      </c>
      <c r="AB533" s="5"/>
      <c r="AC533" s="5"/>
      <c r="AD533" s="5"/>
      <c r="AE533" s="5" t="s">
        <v>68</v>
      </c>
      <c r="AF533" s="5"/>
      <c r="AG533" s="5"/>
      <c r="AH533" s="5" t="s">
        <v>48</v>
      </c>
      <c r="AI533" s="5"/>
      <c r="AJ533" s="5"/>
      <c r="AK533" s="5"/>
      <c r="AL533" s="5"/>
      <c r="AM533" s="5"/>
      <c r="AN533" s="5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</row>
    <row r="534" spans="1:240" ht="30" customHeight="1">
      <c r="A534" s="5">
        <v>532</v>
      </c>
      <c r="B534" s="5" t="s">
        <v>68</v>
      </c>
      <c r="C534" s="5"/>
      <c r="D534" s="5"/>
      <c r="E534" s="5">
        <v>3925</v>
      </c>
      <c r="F534" s="5">
        <v>833</v>
      </c>
      <c r="G534" s="5">
        <v>1060</v>
      </c>
      <c r="H534" s="5" t="s">
        <v>48</v>
      </c>
      <c r="I534" s="5" t="s">
        <v>17</v>
      </c>
      <c r="J534" s="24">
        <v>34.747781425954095</v>
      </c>
      <c r="K534" s="30">
        <v>5</v>
      </c>
      <c r="L534" s="5">
        <v>185</v>
      </c>
      <c r="M534" s="31">
        <v>10</v>
      </c>
      <c r="N534" s="5" t="s">
        <v>48</v>
      </c>
      <c r="O534" s="5">
        <v>53960</v>
      </c>
      <c r="P534" s="5" t="s">
        <v>48</v>
      </c>
      <c r="Q534" s="5">
        <v>5</v>
      </c>
      <c r="R534" s="5">
        <v>8</v>
      </c>
      <c r="S534" s="5">
        <v>500</v>
      </c>
      <c r="T534" s="5" t="s">
        <v>48</v>
      </c>
      <c r="U534" s="5" t="s">
        <v>48</v>
      </c>
      <c r="V534" s="5" t="s">
        <v>48</v>
      </c>
      <c r="W534" s="5" t="s">
        <v>10</v>
      </c>
      <c r="X534" s="5">
        <v>54</v>
      </c>
      <c r="Y534" s="5" t="s">
        <v>48</v>
      </c>
      <c r="Z534" s="5" t="s">
        <v>48</v>
      </c>
      <c r="AA534" s="5" t="s">
        <v>68</v>
      </c>
      <c r="AB534" s="5"/>
      <c r="AC534" s="5"/>
      <c r="AD534" s="5"/>
      <c r="AE534" s="5" t="s">
        <v>68</v>
      </c>
      <c r="AF534" s="5"/>
      <c r="AG534" s="5"/>
      <c r="AH534" s="5" t="s">
        <v>48</v>
      </c>
      <c r="AI534" s="5"/>
      <c r="AJ534" s="5"/>
      <c r="AK534" s="5"/>
      <c r="AL534" s="5"/>
      <c r="AM534" s="5"/>
      <c r="AN534" s="5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</row>
    <row r="535" spans="1:240" ht="30" customHeight="1">
      <c r="A535" s="5">
        <v>533</v>
      </c>
      <c r="B535" s="5" t="s">
        <v>68</v>
      </c>
      <c r="C535" s="5"/>
      <c r="D535" s="5"/>
      <c r="E535" s="5">
        <v>1340</v>
      </c>
      <c r="F535" s="5">
        <v>1033</v>
      </c>
      <c r="G535" s="5">
        <v>1200</v>
      </c>
      <c r="H535" s="5" t="s">
        <v>48</v>
      </c>
      <c r="I535" s="5" t="s">
        <v>17</v>
      </c>
      <c r="J535" s="24">
        <v>4.319994447551049</v>
      </c>
      <c r="K535" s="30">
        <v>5</v>
      </c>
      <c r="L535" s="5">
        <v>23</v>
      </c>
      <c r="M535" s="31">
        <v>10</v>
      </c>
      <c r="N535" s="5" t="s">
        <v>48</v>
      </c>
      <c r="O535" s="5">
        <v>9550</v>
      </c>
      <c r="P535" s="5" t="s">
        <v>48</v>
      </c>
      <c r="Q535" s="5">
        <v>3</v>
      </c>
      <c r="R535" s="5">
        <v>1</v>
      </c>
      <c r="S535" s="5">
        <v>600</v>
      </c>
      <c r="T535" s="5" t="s">
        <v>48</v>
      </c>
      <c r="U535" s="5" t="s">
        <v>48</v>
      </c>
      <c r="V535" s="5" t="s">
        <v>48</v>
      </c>
      <c r="W535" s="5" t="s">
        <v>10</v>
      </c>
      <c r="X535" s="5">
        <v>49</v>
      </c>
      <c r="Y535" s="5" t="s">
        <v>48</v>
      </c>
      <c r="Z535" s="5" t="s">
        <v>48</v>
      </c>
      <c r="AA535" s="5" t="s">
        <v>68</v>
      </c>
      <c r="AB535" s="5"/>
      <c r="AC535" s="5"/>
      <c r="AD535" s="5"/>
      <c r="AE535" s="5" t="s">
        <v>68</v>
      </c>
      <c r="AF535" s="5"/>
      <c r="AG535" s="5"/>
      <c r="AH535" s="5" t="s">
        <v>48</v>
      </c>
      <c r="AI535" s="5"/>
      <c r="AJ535" s="5"/>
      <c r="AK535" s="5"/>
      <c r="AL535" s="5"/>
      <c r="AM535" s="5"/>
      <c r="AN535" s="5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</row>
    <row r="536" spans="1:240" ht="30" customHeight="1">
      <c r="A536" s="5">
        <v>534</v>
      </c>
      <c r="B536" s="5" t="s">
        <v>68</v>
      </c>
      <c r="C536" s="5"/>
      <c r="D536" s="5"/>
      <c r="E536" s="5">
        <v>2500</v>
      </c>
      <c r="F536" s="5">
        <v>1033</v>
      </c>
      <c r="G536" s="5">
        <v>1200</v>
      </c>
      <c r="H536" s="5" t="s">
        <v>48</v>
      </c>
      <c r="I536" s="5" t="s">
        <v>17</v>
      </c>
      <c r="J536" s="24">
        <v>9.0156405861934932</v>
      </c>
      <c r="K536" s="30">
        <v>5</v>
      </c>
      <c r="L536" s="5">
        <v>48</v>
      </c>
      <c r="M536" s="31">
        <v>10</v>
      </c>
      <c r="N536" s="5" t="s">
        <v>48</v>
      </c>
      <c r="O536" s="5">
        <v>19100</v>
      </c>
      <c r="P536" s="5" t="s">
        <v>48</v>
      </c>
      <c r="Q536" s="5">
        <v>3</v>
      </c>
      <c r="R536" s="5">
        <v>2</v>
      </c>
      <c r="S536" s="5">
        <v>600</v>
      </c>
      <c r="T536" s="5" t="s">
        <v>48</v>
      </c>
      <c r="U536" s="5" t="s">
        <v>48</v>
      </c>
      <c r="V536" s="5" t="s">
        <v>48</v>
      </c>
      <c r="W536" s="5" t="s">
        <v>10</v>
      </c>
      <c r="X536" s="5">
        <v>52</v>
      </c>
      <c r="Y536" s="5" t="s">
        <v>48</v>
      </c>
      <c r="Z536" s="5" t="s">
        <v>48</v>
      </c>
      <c r="AA536" s="5" t="s">
        <v>68</v>
      </c>
      <c r="AB536" s="5"/>
      <c r="AC536" s="5"/>
      <c r="AD536" s="5"/>
      <c r="AE536" s="5" t="s">
        <v>68</v>
      </c>
      <c r="AF536" s="5"/>
      <c r="AG536" s="5"/>
      <c r="AH536" s="5" t="s">
        <v>48</v>
      </c>
      <c r="AI536" s="5"/>
      <c r="AJ536" s="5"/>
      <c r="AK536" s="5"/>
      <c r="AL536" s="5"/>
      <c r="AM536" s="5"/>
      <c r="AN536" s="5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</row>
    <row r="537" spans="1:240" ht="30" customHeight="1">
      <c r="A537" s="5">
        <v>535</v>
      </c>
      <c r="B537" s="5" t="s">
        <v>68</v>
      </c>
      <c r="C537" s="5"/>
      <c r="D537" s="5"/>
      <c r="E537" s="5">
        <v>3660</v>
      </c>
      <c r="F537" s="5">
        <v>1033</v>
      </c>
      <c r="G537" s="5">
        <v>1200</v>
      </c>
      <c r="H537" s="5" t="s">
        <v>48</v>
      </c>
      <c r="I537" s="5" t="s">
        <v>17</v>
      </c>
      <c r="J537" s="24">
        <v>13.899112570381638</v>
      </c>
      <c r="K537" s="30">
        <v>5</v>
      </c>
      <c r="L537" s="5">
        <v>74</v>
      </c>
      <c r="M537" s="31">
        <v>10</v>
      </c>
      <c r="N537" s="5" t="s">
        <v>48</v>
      </c>
      <c r="O537" s="5">
        <v>28650</v>
      </c>
      <c r="P537" s="5" t="s">
        <v>48</v>
      </c>
      <c r="Q537" s="5">
        <v>3</v>
      </c>
      <c r="R537" s="5">
        <v>3</v>
      </c>
      <c r="S537" s="5">
        <v>600</v>
      </c>
      <c r="T537" s="5" t="s">
        <v>48</v>
      </c>
      <c r="U537" s="5" t="s">
        <v>48</v>
      </c>
      <c r="V537" s="5" t="s">
        <v>48</v>
      </c>
      <c r="W537" s="5" t="s">
        <v>10</v>
      </c>
      <c r="X537" s="5">
        <v>54</v>
      </c>
      <c r="Y537" s="5" t="s">
        <v>48</v>
      </c>
      <c r="Z537" s="5" t="s">
        <v>48</v>
      </c>
      <c r="AA537" s="5" t="s">
        <v>68</v>
      </c>
      <c r="AB537" s="5"/>
      <c r="AC537" s="5"/>
      <c r="AD537" s="5"/>
      <c r="AE537" s="5" t="s">
        <v>68</v>
      </c>
      <c r="AF537" s="5"/>
      <c r="AG537" s="5"/>
      <c r="AH537" s="5" t="s">
        <v>48</v>
      </c>
      <c r="AI537" s="5"/>
      <c r="AJ537" s="5"/>
      <c r="AK537" s="5"/>
      <c r="AL537" s="5"/>
      <c r="AM537" s="5"/>
      <c r="AN537" s="5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</row>
    <row r="538" spans="1:240" ht="30" customHeight="1">
      <c r="A538" s="5">
        <v>536</v>
      </c>
      <c r="B538" s="5" t="s">
        <v>68</v>
      </c>
      <c r="C538" s="5"/>
      <c r="D538" s="5"/>
      <c r="E538" s="5">
        <v>4820</v>
      </c>
      <c r="F538" s="5">
        <v>1033</v>
      </c>
      <c r="G538" s="5">
        <v>1200</v>
      </c>
      <c r="H538" s="5" t="s">
        <v>48</v>
      </c>
      <c r="I538" s="5" t="s">
        <v>17</v>
      </c>
      <c r="J538" s="24">
        <v>18.406932863478385</v>
      </c>
      <c r="K538" s="30">
        <v>5</v>
      </c>
      <c r="L538" s="5">
        <v>98</v>
      </c>
      <c r="M538" s="31">
        <v>10</v>
      </c>
      <c r="N538" s="5" t="s">
        <v>48</v>
      </c>
      <c r="O538" s="5">
        <v>38200</v>
      </c>
      <c r="P538" s="5" t="s">
        <v>48</v>
      </c>
      <c r="Q538" s="5">
        <v>3</v>
      </c>
      <c r="R538" s="5">
        <v>4</v>
      </c>
      <c r="S538" s="5">
        <v>600</v>
      </c>
      <c r="T538" s="5" t="s">
        <v>48</v>
      </c>
      <c r="U538" s="5" t="s">
        <v>48</v>
      </c>
      <c r="V538" s="5" t="s">
        <v>48</v>
      </c>
      <c r="W538" s="5" t="s">
        <v>10</v>
      </c>
      <c r="X538" s="5">
        <v>55</v>
      </c>
      <c r="Y538" s="5" t="s">
        <v>48</v>
      </c>
      <c r="Z538" s="5" t="s">
        <v>48</v>
      </c>
      <c r="AA538" s="5" t="s">
        <v>68</v>
      </c>
      <c r="AB538" s="5"/>
      <c r="AC538" s="5"/>
      <c r="AD538" s="5"/>
      <c r="AE538" s="5" t="s">
        <v>68</v>
      </c>
      <c r="AF538" s="5"/>
      <c r="AG538" s="5"/>
      <c r="AH538" s="5" t="s">
        <v>48</v>
      </c>
      <c r="AI538" s="5"/>
      <c r="AJ538" s="5"/>
      <c r="AK538" s="5"/>
      <c r="AL538" s="5"/>
      <c r="AM538" s="5"/>
      <c r="AN538" s="5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</row>
    <row r="539" spans="1:240" ht="30" customHeight="1">
      <c r="A539" s="5">
        <v>537</v>
      </c>
      <c r="B539" s="5" t="s">
        <v>68</v>
      </c>
      <c r="C539" s="5"/>
      <c r="D539" s="5"/>
      <c r="E539" s="5">
        <v>3660</v>
      </c>
      <c r="F539" s="5">
        <v>1033</v>
      </c>
      <c r="G539" s="5">
        <v>1200</v>
      </c>
      <c r="H539" s="5" t="s">
        <v>48</v>
      </c>
      <c r="I539" s="5" t="s">
        <v>17</v>
      </c>
      <c r="J539" s="24">
        <v>27.610399295217572</v>
      </c>
      <c r="K539" s="30">
        <v>5</v>
      </c>
      <c r="L539" s="5">
        <v>147</v>
      </c>
      <c r="M539" s="31">
        <v>10</v>
      </c>
      <c r="N539" s="5" t="s">
        <v>48</v>
      </c>
      <c r="O539" s="5">
        <v>57300</v>
      </c>
      <c r="P539" s="5" t="s">
        <v>48</v>
      </c>
      <c r="Q539" s="5">
        <v>3</v>
      </c>
      <c r="R539" s="5">
        <v>6</v>
      </c>
      <c r="S539" s="5">
        <v>600</v>
      </c>
      <c r="T539" s="5" t="s">
        <v>48</v>
      </c>
      <c r="U539" s="5" t="s">
        <v>48</v>
      </c>
      <c r="V539" s="5" t="s">
        <v>48</v>
      </c>
      <c r="W539" s="5" t="s">
        <v>10</v>
      </c>
      <c r="X539" s="5">
        <v>57</v>
      </c>
      <c r="Y539" s="5" t="s">
        <v>48</v>
      </c>
      <c r="Z539" s="5" t="s">
        <v>48</v>
      </c>
      <c r="AA539" s="5" t="s">
        <v>68</v>
      </c>
      <c r="AB539" s="5"/>
      <c r="AC539" s="5"/>
      <c r="AD539" s="5"/>
      <c r="AE539" s="5" t="s">
        <v>68</v>
      </c>
      <c r="AF539" s="5"/>
      <c r="AG539" s="5"/>
      <c r="AH539" s="5" t="s">
        <v>48</v>
      </c>
      <c r="AI539" s="5"/>
      <c r="AJ539" s="5"/>
      <c r="AK539" s="5"/>
      <c r="AL539" s="5"/>
      <c r="AM539" s="5"/>
      <c r="AN539" s="5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</row>
    <row r="540" spans="1:240" ht="30" customHeight="1">
      <c r="A540" s="5">
        <v>538</v>
      </c>
      <c r="B540" s="5" t="s">
        <v>68</v>
      </c>
      <c r="C540" s="5"/>
      <c r="D540" s="5"/>
      <c r="E540" s="5">
        <v>4820</v>
      </c>
      <c r="F540" s="5">
        <v>1033</v>
      </c>
      <c r="G540" s="5">
        <v>1200</v>
      </c>
      <c r="H540" s="5" t="s">
        <v>48</v>
      </c>
      <c r="I540" s="5" t="s">
        <v>17</v>
      </c>
      <c r="J540" s="24">
        <v>36.626039881411067</v>
      </c>
      <c r="K540" s="30">
        <v>5</v>
      </c>
      <c r="L540" s="5">
        <v>195</v>
      </c>
      <c r="M540" s="31">
        <v>10</v>
      </c>
      <c r="N540" s="5" t="s">
        <v>48</v>
      </c>
      <c r="O540" s="5">
        <v>76400</v>
      </c>
      <c r="P540" s="5" t="s">
        <v>48</v>
      </c>
      <c r="Q540" s="5">
        <v>3</v>
      </c>
      <c r="R540" s="5">
        <v>8</v>
      </c>
      <c r="S540" s="5">
        <v>600</v>
      </c>
      <c r="T540" s="5" t="s">
        <v>48</v>
      </c>
      <c r="U540" s="5" t="s">
        <v>48</v>
      </c>
      <c r="V540" s="5" t="s">
        <v>48</v>
      </c>
      <c r="W540" s="5" t="s">
        <v>10</v>
      </c>
      <c r="X540" s="5">
        <v>58</v>
      </c>
      <c r="Y540" s="5" t="s">
        <v>48</v>
      </c>
      <c r="Z540" s="5" t="s">
        <v>48</v>
      </c>
      <c r="AA540" s="5" t="s">
        <v>68</v>
      </c>
      <c r="AB540" s="5"/>
      <c r="AC540" s="5"/>
      <c r="AD540" s="5"/>
      <c r="AE540" s="5" t="s">
        <v>68</v>
      </c>
      <c r="AF540" s="5"/>
      <c r="AG540" s="5"/>
      <c r="AH540" s="5" t="s">
        <v>48</v>
      </c>
      <c r="AI540" s="5"/>
      <c r="AJ540" s="5"/>
      <c r="AK540" s="5"/>
      <c r="AL540" s="5"/>
      <c r="AM540" s="5"/>
      <c r="AN540" s="5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</row>
    <row r="541" spans="1:240" ht="30" customHeight="1">
      <c r="A541" s="5">
        <v>539</v>
      </c>
      <c r="B541" s="5" t="s">
        <v>68</v>
      </c>
      <c r="C541" s="5"/>
      <c r="D541" s="5"/>
      <c r="E541" s="5">
        <v>4820</v>
      </c>
      <c r="F541" s="5">
        <v>1033</v>
      </c>
      <c r="G541" s="5">
        <v>1200</v>
      </c>
      <c r="H541" s="5" t="s">
        <v>48</v>
      </c>
      <c r="I541" s="5" t="s">
        <v>17</v>
      </c>
      <c r="J541" s="24">
        <v>46.205158004241653</v>
      </c>
      <c r="K541" s="30">
        <v>5</v>
      </c>
      <c r="L541" s="5">
        <v>246</v>
      </c>
      <c r="M541" s="31">
        <v>10</v>
      </c>
      <c r="N541" s="5" t="s">
        <v>48</v>
      </c>
      <c r="O541" s="5">
        <v>69600</v>
      </c>
      <c r="P541" s="5" t="s">
        <v>48</v>
      </c>
      <c r="Q541" s="5">
        <v>5</v>
      </c>
      <c r="R541" s="5">
        <v>8</v>
      </c>
      <c r="S541" s="5">
        <v>600</v>
      </c>
      <c r="T541" s="5" t="s">
        <v>48</v>
      </c>
      <c r="U541" s="5" t="s">
        <v>48</v>
      </c>
      <c r="V541" s="5" t="s">
        <v>48</v>
      </c>
      <c r="W541" s="5" t="s">
        <v>10</v>
      </c>
      <c r="X541" s="5">
        <v>58</v>
      </c>
      <c r="Y541" s="5" t="s">
        <v>48</v>
      </c>
      <c r="Z541" s="5" t="s">
        <v>48</v>
      </c>
      <c r="AA541" s="5" t="s">
        <v>68</v>
      </c>
      <c r="AB541" s="5"/>
      <c r="AC541" s="5"/>
      <c r="AD541" s="5"/>
      <c r="AE541" s="5" t="s">
        <v>68</v>
      </c>
      <c r="AF541" s="5"/>
      <c r="AG541" s="5"/>
      <c r="AH541" s="5" t="s">
        <v>48</v>
      </c>
      <c r="AI541" s="5"/>
      <c r="AJ541" s="5"/>
      <c r="AK541" s="5"/>
      <c r="AL541" s="5"/>
      <c r="AM541" s="5"/>
      <c r="AN541" s="5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</row>
    <row r="542" spans="1:240" ht="30" customHeight="1">
      <c r="A542" s="5">
        <v>540</v>
      </c>
      <c r="B542" s="5" t="s">
        <v>68</v>
      </c>
      <c r="C542" s="5"/>
      <c r="D542" s="5"/>
      <c r="E542" s="5">
        <v>1633</v>
      </c>
      <c r="F542" s="5">
        <v>1434</v>
      </c>
      <c r="G542" s="5">
        <v>1530</v>
      </c>
      <c r="H542" s="5" t="s">
        <v>48</v>
      </c>
      <c r="I542" s="5" t="s">
        <v>17</v>
      </c>
      <c r="J542" s="24">
        <v>8.8278147406477956</v>
      </c>
      <c r="K542" s="30">
        <v>5</v>
      </c>
      <c r="L542" s="5">
        <v>47</v>
      </c>
      <c r="M542" s="31">
        <v>10</v>
      </c>
      <c r="N542" s="5" t="s">
        <v>48</v>
      </c>
      <c r="O542" s="5">
        <v>20400</v>
      </c>
      <c r="P542" s="5" t="s">
        <v>48</v>
      </c>
      <c r="Q542" s="5">
        <v>3</v>
      </c>
      <c r="R542" s="5">
        <v>1</v>
      </c>
      <c r="S542" s="5">
        <v>900</v>
      </c>
      <c r="T542" s="5" t="s">
        <v>48</v>
      </c>
      <c r="U542" s="5" t="s">
        <v>48</v>
      </c>
      <c r="V542" s="5" t="s">
        <v>48</v>
      </c>
      <c r="W542" s="5" t="s">
        <v>10</v>
      </c>
      <c r="X542" s="5">
        <v>56</v>
      </c>
      <c r="Y542" s="5" t="s">
        <v>48</v>
      </c>
      <c r="Z542" s="5" t="s">
        <v>48</v>
      </c>
      <c r="AA542" s="5" t="s">
        <v>68</v>
      </c>
      <c r="AB542" s="5"/>
      <c r="AC542" s="5"/>
      <c r="AD542" s="5"/>
      <c r="AE542" s="5" t="s">
        <v>68</v>
      </c>
      <c r="AF542" s="5"/>
      <c r="AG542" s="5"/>
      <c r="AH542" s="5" t="s">
        <v>48</v>
      </c>
      <c r="AI542" s="5"/>
      <c r="AJ542" s="5"/>
      <c r="AK542" s="5"/>
      <c r="AL542" s="5"/>
      <c r="AM542" s="5"/>
      <c r="AN542" s="5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</row>
    <row r="543" spans="1:240" ht="30" customHeight="1">
      <c r="A543" s="5">
        <v>541</v>
      </c>
      <c r="B543" s="5" t="s">
        <v>68</v>
      </c>
      <c r="C543" s="5"/>
      <c r="D543" s="5"/>
      <c r="E543" s="5">
        <v>3063</v>
      </c>
      <c r="F543" s="5">
        <v>1434</v>
      </c>
      <c r="G543" s="5">
        <v>1530</v>
      </c>
      <c r="H543" s="5" t="s">
        <v>48</v>
      </c>
      <c r="I543" s="5" t="s">
        <v>17</v>
      </c>
      <c r="J543" s="24">
        <v>18.031281172386986</v>
      </c>
      <c r="K543" s="30">
        <v>5</v>
      </c>
      <c r="L543" s="5">
        <v>96</v>
      </c>
      <c r="M543" s="31">
        <v>10</v>
      </c>
      <c r="N543" s="5" t="s">
        <v>48</v>
      </c>
      <c r="O543" s="5">
        <v>40800</v>
      </c>
      <c r="P543" s="5" t="s">
        <v>48</v>
      </c>
      <c r="Q543" s="5">
        <v>3</v>
      </c>
      <c r="R543" s="5">
        <v>2</v>
      </c>
      <c r="S543" s="5">
        <v>900</v>
      </c>
      <c r="T543" s="5" t="s">
        <v>48</v>
      </c>
      <c r="U543" s="5" t="s">
        <v>48</v>
      </c>
      <c r="V543" s="5" t="s">
        <v>48</v>
      </c>
      <c r="W543" s="5" t="s">
        <v>10</v>
      </c>
      <c r="X543" s="5">
        <v>59</v>
      </c>
      <c r="Y543" s="5" t="s">
        <v>48</v>
      </c>
      <c r="Z543" s="5" t="s">
        <v>48</v>
      </c>
      <c r="AA543" s="5" t="s">
        <v>68</v>
      </c>
      <c r="AB543" s="5"/>
      <c r="AC543" s="5"/>
      <c r="AD543" s="5"/>
      <c r="AE543" s="5" t="s">
        <v>68</v>
      </c>
      <c r="AF543" s="5"/>
      <c r="AG543" s="5"/>
      <c r="AH543" s="5" t="s">
        <v>48</v>
      </c>
      <c r="AI543" s="5"/>
      <c r="AJ543" s="5"/>
      <c r="AK543" s="5"/>
      <c r="AL543" s="5"/>
      <c r="AM543" s="5"/>
      <c r="AN543" s="5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</row>
    <row r="544" spans="1:240" ht="30" customHeight="1">
      <c r="A544" s="5">
        <v>542</v>
      </c>
      <c r="B544" s="5" t="s">
        <v>68</v>
      </c>
      <c r="C544" s="5"/>
      <c r="D544" s="5"/>
      <c r="E544" s="5">
        <v>4493</v>
      </c>
      <c r="F544" s="5">
        <v>1434</v>
      </c>
      <c r="G544" s="5">
        <v>1530</v>
      </c>
      <c r="H544" s="5" t="s">
        <v>48</v>
      </c>
      <c r="I544" s="5" t="s">
        <v>17</v>
      </c>
      <c r="J544" s="24">
        <v>27.046921758580481</v>
      </c>
      <c r="K544" s="30">
        <v>5</v>
      </c>
      <c r="L544" s="5">
        <v>144</v>
      </c>
      <c r="M544" s="31">
        <v>10</v>
      </c>
      <c r="N544" s="5" t="s">
        <v>48</v>
      </c>
      <c r="O544" s="5">
        <v>61200</v>
      </c>
      <c r="P544" s="5" t="s">
        <v>48</v>
      </c>
      <c r="Q544" s="5">
        <v>3</v>
      </c>
      <c r="R544" s="5">
        <v>3</v>
      </c>
      <c r="S544" s="5">
        <v>900</v>
      </c>
      <c r="T544" s="5" t="s">
        <v>48</v>
      </c>
      <c r="U544" s="5" t="s">
        <v>48</v>
      </c>
      <c r="V544" s="5" t="s">
        <v>48</v>
      </c>
      <c r="W544" s="5" t="s">
        <v>10</v>
      </c>
      <c r="X544" s="5">
        <v>61</v>
      </c>
      <c r="Y544" s="5" t="s">
        <v>48</v>
      </c>
      <c r="Z544" s="5" t="s">
        <v>48</v>
      </c>
      <c r="AA544" s="5" t="s">
        <v>68</v>
      </c>
      <c r="AB544" s="5"/>
      <c r="AC544" s="5"/>
      <c r="AD544" s="5"/>
      <c r="AE544" s="5" t="s">
        <v>68</v>
      </c>
      <c r="AF544" s="5"/>
      <c r="AG544" s="5"/>
      <c r="AH544" s="5" t="s">
        <v>48</v>
      </c>
      <c r="AI544" s="5"/>
      <c r="AJ544" s="5"/>
      <c r="AK544" s="5"/>
      <c r="AL544" s="5"/>
      <c r="AM544" s="5"/>
      <c r="AN544" s="5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</row>
    <row r="545" spans="1:240" ht="30" customHeight="1">
      <c r="A545" s="5">
        <v>543</v>
      </c>
      <c r="B545" s="5" t="s">
        <v>68</v>
      </c>
      <c r="C545" s="5"/>
      <c r="D545" s="5"/>
      <c r="E545" s="5">
        <v>3063</v>
      </c>
      <c r="F545" s="5">
        <v>1434</v>
      </c>
      <c r="G545" s="5">
        <v>1530</v>
      </c>
      <c r="H545" s="5" t="s">
        <v>48</v>
      </c>
      <c r="I545" s="5" t="s">
        <v>17</v>
      </c>
      <c r="J545" s="24">
        <v>35.874736499228277</v>
      </c>
      <c r="K545" s="30">
        <v>5</v>
      </c>
      <c r="L545" s="5">
        <v>191</v>
      </c>
      <c r="M545" s="31">
        <v>10</v>
      </c>
      <c r="N545" s="5" t="s">
        <v>48</v>
      </c>
      <c r="O545" s="5">
        <v>81600</v>
      </c>
      <c r="P545" s="5" t="s">
        <v>48</v>
      </c>
      <c r="Q545" s="5">
        <v>3</v>
      </c>
      <c r="R545" s="5">
        <v>4</v>
      </c>
      <c r="S545" s="5">
        <v>900</v>
      </c>
      <c r="T545" s="5" t="s">
        <v>48</v>
      </c>
      <c r="U545" s="5" t="s">
        <v>48</v>
      </c>
      <c r="V545" s="5" t="s">
        <v>48</v>
      </c>
      <c r="W545" s="5" t="s">
        <v>10</v>
      </c>
      <c r="X545" s="5">
        <v>62</v>
      </c>
      <c r="Y545" s="5" t="s">
        <v>48</v>
      </c>
      <c r="Z545" s="5" t="s">
        <v>48</v>
      </c>
      <c r="AA545" s="5" t="s">
        <v>68</v>
      </c>
      <c r="AB545" s="5"/>
      <c r="AC545" s="5"/>
      <c r="AD545" s="5"/>
      <c r="AE545" s="5" t="s">
        <v>68</v>
      </c>
      <c r="AF545" s="5"/>
      <c r="AG545" s="5"/>
      <c r="AH545" s="5" t="s">
        <v>48</v>
      </c>
      <c r="AI545" s="5"/>
      <c r="AJ545" s="5"/>
      <c r="AK545" s="5"/>
      <c r="AL545" s="5"/>
      <c r="AM545" s="5"/>
      <c r="AN545" s="5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</row>
    <row r="546" spans="1:240" ht="30" customHeight="1">
      <c r="A546" s="5">
        <v>544</v>
      </c>
      <c r="B546" s="5" t="s">
        <v>68</v>
      </c>
      <c r="C546" s="5"/>
      <c r="D546" s="5"/>
      <c r="E546" s="5">
        <v>4493</v>
      </c>
      <c r="F546" s="5">
        <v>1434</v>
      </c>
      <c r="G546" s="5">
        <v>1530</v>
      </c>
      <c r="H546" s="5" t="s">
        <v>48</v>
      </c>
      <c r="I546" s="5" t="s">
        <v>17</v>
      </c>
      <c r="J546" s="24">
        <v>54.281669362706658</v>
      </c>
      <c r="K546" s="30">
        <v>5</v>
      </c>
      <c r="L546" s="5">
        <v>289</v>
      </c>
      <c r="M546" s="31">
        <v>10</v>
      </c>
      <c r="N546" s="5" t="s">
        <v>48</v>
      </c>
      <c r="O546" s="5">
        <v>122400</v>
      </c>
      <c r="P546" s="5" t="s">
        <v>48</v>
      </c>
      <c r="Q546" s="5">
        <v>3</v>
      </c>
      <c r="R546" s="5">
        <v>6</v>
      </c>
      <c r="S546" s="5">
        <v>900</v>
      </c>
      <c r="T546" s="5" t="s">
        <v>48</v>
      </c>
      <c r="U546" s="5" t="s">
        <v>48</v>
      </c>
      <c r="V546" s="5" t="s">
        <v>48</v>
      </c>
      <c r="W546" s="5" t="s">
        <v>10</v>
      </c>
      <c r="X546" s="5">
        <v>64</v>
      </c>
      <c r="Y546" s="5" t="s">
        <v>48</v>
      </c>
      <c r="Z546" s="5" t="s">
        <v>48</v>
      </c>
      <c r="AA546" s="5" t="s">
        <v>68</v>
      </c>
      <c r="AB546" s="5"/>
      <c r="AC546" s="5"/>
      <c r="AD546" s="5"/>
      <c r="AE546" s="5" t="s">
        <v>68</v>
      </c>
      <c r="AF546" s="5"/>
      <c r="AG546" s="5"/>
      <c r="AH546" s="5" t="s">
        <v>48</v>
      </c>
      <c r="AI546" s="5"/>
      <c r="AJ546" s="5"/>
      <c r="AK546" s="5"/>
      <c r="AL546" s="5"/>
      <c r="AM546" s="5"/>
      <c r="AN546" s="5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</row>
    <row r="547" spans="1:240" ht="30" customHeight="1">
      <c r="A547" s="5">
        <v>545</v>
      </c>
      <c r="B547" s="5" t="s">
        <v>68</v>
      </c>
      <c r="C547" s="5"/>
      <c r="D547" s="5"/>
      <c r="E547" s="5">
        <v>4493</v>
      </c>
      <c r="F547" s="5">
        <v>1434</v>
      </c>
      <c r="G547" s="5">
        <v>1530</v>
      </c>
      <c r="H547" s="5" t="s">
        <v>48</v>
      </c>
      <c r="I547" s="5" t="s">
        <v>17</v>
      </c>
      <c r="J547" s="24">
        <v>73.252079762822135</v>
      </c>
      <c r="K547" s="30">
        <v>5</v>
      </c>
      <c r="L547" s="5">
        <v>390</v>
      </c>
      <c r="M547" s="31">
        <v>10</v>
      </c>
      <c r="N547" s="5" t="s">
        <v>48</v>
      </c>
      <c r="O547" s="5">
        <v>106200</v>
      </c>
      <c r="P547" s="5" t="s">
        <v>48</v>
      </c>
      <c r="Q547" s="5">
        <v>6</v>
      </c>
      <c r="R547" s="5">
        <v>6</v>
      </c>
      <c r="S547" s="5">
        <v>900</v>
      </c>
      <c r="T547" s="5" t="s">
        <v>48</v>
      </c>
      <c r="U547" s="5" t="s">
        <v>48</v>
      </c>
      <c r="V547" s="5" t="s">
        <v>48</v>
      </c>
      <c r="W547" s="5" t="s">
        <v>10</v>
      </c>
      <c r="X547" s="5">
        <v>64</v>
      </c>
      <c r="Y547" s="5" t="s">
        <v>48</v>
      </c>
      <c r="Z547" s="5" t="s">
        <v>48</v>
      </c>
      <c r="AA547" s="5" t="s">
        <v>68</v>
      </c>
      <c r="AB547" s="5"/>
      <c r="AC547" s="5"/>
      <c r="AD547" s="5"/>
      <c r="AE547" s="5" t="s">
        <v>68</v>
      </c>
      <c r="AF547" s="5"/>
      <c r="AG547" s="5"/>
      <c r="AH547" s="5" t="s">
        <v>48</v>
      </c>
      <c r="AI547" s="5"/>
      <c r="AJ547" s="5"/>
      <c r="AK547" s="5"/>
      <c r="AL547" s="5"/>
      <c r="AM547" s="5"/>
      <c r="AN547" s="5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</row>
    <row r="548" spans="1:240" ht="30" customHeight="1">
      <c r="A548" s="5">
        <v>546</v>
      </c>
      <c r="B548" s="5" t="s">
        <v>68</v>
      </c>
      <c r="C548" s="5"/>
      <c r="D548" s="5"/>
      <c r="E548" s="5">
        <v>1633</v>
      </c>
      <c r="F548" s="5">
        <v>1434</v>
      </c>
      <c r="G548" s="5">
        <v>1530</v>
      </c>
      <c r="H548" s="5" t="s">
        <v>48</v>
      </c>
      <c r="I548" s="5" t="s">
        <v>17</v>
      </c>
      <c r="J548" s="24">
        <v>7.325207976282214</v>
      </c>
      <c r="K548" s="30">
        <v>5</v>
      </c>
      <c r="L548" s="5">
        <v>39</v>
      </c>
      <c r="M548" s="31">
        <v>10</v>
      </c>
      <c r="N548" s="5" t="s">
        <v>48</v>
      </c>
      <c r="O548" s="5">
        <v>15000</v>
      </c>
      <c r="P548" s="5" t="s">
        <v>48</v>
      </c>
      <c r="Q548" s="5">
        <v>3</v>
      </c>
      <c r="R548" s="5">
        <v>1</v>
      </c>
      <c r="S548" s="5">
        <v>900</v>
      </c>
      <c r="T548" s="5" t="s">
        <v>48</v>
      </c>
      <c r="U548" s="5" t="s">
        <v>48</v>
      </c>
      <c r="V548" s="5" t="s">
        <v>48</v>
      </c>
      <c r="W548" s="5" t="s">
        <v>10</v>
      </c>
      <c r="X548" s="5">
        <v>50</v>
      </c>
      <c r="Y548" s="5" t="s">
        <v>48</v>
      </c>
      <c r="Z548" s="5" t="s">
        <v>48</v>
      </c>
      <c r="AA548" s="5" t="s">
        <v>68</v>
      </c>
      <c r="AB548" s="5"/>
      <c r="AC548" s="5"/>
      <c r="AD548" s="5"/>
      <c r="AE548" s="5" t="s">
        <v>68</v>
      </c>
      <c r="AF548" s="5"/>
      <c r="AG548" s="5"/>
      <c r="AH548" s="5" t="s">
        <v>48</v>
      </c>
      <c r="AI548" s="5"/>
      <c r="AJ548" s="5"/>
      <c r="AK548" s="5"/>
      <c r="AL548" s="5"/>
      <c r="AM548" s="5"/>
      <c r="AN548" s="5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</row>
    <row r="549" spans="1:240" ht="30" customHeight="1">
      <c r="A549" s="5">
        <v>547</v>
      </c>
      <c r="B549" s="5" t="s">
        <v>68</v>
      </c>
      <c r="C549" s="5"/>
      <c r="D549" s="5"/>
      <c r="E549" s="5">
        <v>3063</v>
      </c>
      <c r="F549" s="5">
        <v>1434</v>
      </c>
      <c r="G549" s="5">
        <v>1530</v>
      </c>
      <c r="H549" s="5" t="s">
        <v>48</v>
      </c>
      <c r="I549" s="5" t="s">
        <v>17</v>
      </c>
      <c r="J549" s="24">
        <v>14.650415952564428</v>
      </c>
      <c r="K549" s="30">
        <v>5</v>
      </c>
      <c r="L549" s="5">
        <v>78</v>
      </c>
      <c r="M549" s="31">
        <v>10</v>
      </c>
      <c r="N549" s="5" t="s">
        <v>48</v>
      </c>
      <c r="O549" s="5">
        <v>30000</v>
      </c>
      <c r="P549" s="5" t="s">
        <v>48</v>
      </c>
      <c r="Q549" s="5">
        <v>3</v>
      </c>
      <c r="R549" s="5">
        <v>2</v>
      </c>
      <c r="S549" s="5">
        <v>900</v>
      </c>
      <c r="T549" s="5" t="s">
        <v>48</v>
      </c>
      <c r="U549" s="5" t="s">
        <v>48</v>
      </c>
      <c r="V549" s="5" t="s">
        <v>48</v>
      </c>
      <c r="W549" s="5" t="s">
        <v>10</v>
      </c>
      <c r="X549" s="5">
        <v>53</v>
      </c>
      <c r="Y549" s="5" t="s">
        <v>48</v>
      </c>
      <c r="Z549" s="5" t="s">
        <v>48</v>
      </c>
      <c r="AA549" s="5" t="s">
        <v>68</v>
      </c>
      <c r="AB549" s="5"/>
      <c r="AC549" s="5"/>
      <c r="AD549" s="5"/>
      <c r="AE549" s="5" t="s">
        <v>68</v>
      </c>
      <c r="AF549" s="5"/>
      <c r="AG549" s="5"/>
      <c r="AH549" s="5" t="s">
        <v>48</v>
      </c>
      <c r="AI549" s="5"/>
      <c r="AJ549" s="5"/>
      <c r="AK549" s="5"/>
      <c r="AL549" s="5"/>
      <c r="AM549" s="5"/>
      <c r="AN549" s="5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</row>
    <row r="550" spans="1:240" ht="30" customHeight="1">
      <c r="A550" s="5">
        <v>548</v>
      </c>
      <c r="B550" s="5" t="s">
        <v>68</v>
      </c>
      <c r="C550" s="5"/>
      <c r="D550" s="5"/>
      <c r="E550" s="5">
        <v>4493</v>
      </c>
      <c r="F550" s="5">
        <v>1434</v>
      </c>
      <c r="G550" s="5">
        <v>1530</v>
      </c>
      <c r="H550" s="5" t="s">
        <v>48</v>
      </c>
      <c r="I550" s="5" t="s">
        <v>17</v>
      </c>
      <c r="J550" s="24">
        <v>22.16344977439234</v>
      </c>
      <c r="K550" s="30">
        <v>5</v>
      </c>
      <c r="L550" s="5">
        <v>118</v>
      </c>
      <c r="M550" s="31">
        <v>10</v>
      </c>
      <c r="N550" s="5" t="s">
        <v>48</v>
      </c>
      <c r="O550" s="5">
        <v>45000</v>
      </c>
      <c r="P550" s="5" t="s">
        <v>48</v>
      </c>
      <c r="Q550" s="5">
        <v>3</v>
      </c>
      <c r="R550" s="5">
        <v>3</v>
      </c>
      <c r="S550" s="5">
        <v>900</v>
      </c>
      <c r="T550" s="5" t="s">
        <v>48</v>
      </c>
      <c r="U550" s="5" t="s">
        <v>48</v>
      </c>
      <c r="V550" s="5" t="s">
        <v>48</v>
      </c>
      <c r="W550" s="5" t="s">
        <v>10</v>
      </c>
      <c r="X550" s="5">
        <v>55</v>
      </c>
      <c r="Y550" s="5" t="s">
        <v>48</v>
      </c>
      <c r="Z550" s="5" t="s">
        <v>48</v>
      </c>
      <c r="AA550" s="5" t="s">
        <v>68</v>
      </c>
      <c r="AB550" s="5"/>
      <c r="AC550" s="5"/>
      <c r="AD550" s="5"/>
      <c r="AE550" s="5" t="s">
        <v>68</v>
      </c>
      <c r="AF550" s="5"/>
      <c r="AG550" s="5"/>
      <c r="AH550" s="5" t="s">
        <v>48</v>
      </c>
      <c r="AI550" s="5"/>
      <c r="AJ550" s="5"/>
      <c r="AK550" s="5"/>
      <c r="AL550" s="5"/>
      <c r="AM550" s="5"/>
      <c r="AN550" s="5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</row>
    <row r="551" spans="1:240" ht="30" customHeight="1">
      <c r="A551" s="5">
        <v>549</v>
      </c>
      <c r="B551" s="5" t="s">
        <v>68</v>
      </c>
      <c r="C551" s="5"/>
      <c r="D551" s="5"/>
      <c r="E551" s="5">
        <v>4493</v>
      </c>
      <c r="F551" s="5">
        <v>1434</v>
      </c>
      <c r="G551" s="5">
        <v>1530</v>
      </c>
      <c r="H551" s="5" t="s">
        <v>48</v>
      </c>
      <c r="I551" s="5" t="s">
        <v>17</v>
      </c>
      <c r="J551" s="24">
        <v>29.676483596220251</v>
      </c>
      <c r="K551" s="30">
        <v>5</v>
      </c>
      <c r="L551" s="5">
        <v>158</v>
      </c>
      <c r="M551" s="31">
        <v>10</v>
      </c>
      <c r="N551" s="5" t="s">
        <v>48</v>
      </c>
      <c r="O551" s="5">
        <v>38700</v>
      </c>
      <c r="P551" s="5" t="s">
        <v>48</v>
      </c>
      <c r="Q551" s="5">
        <v>6</v>
      </c>
      <c r="R551" s="5">
        <v>3</v>
      </c>
      <c r="S551" s="5">
        <v>900</v>
      </c>
      <c r="T551" s="5" t="s">
        <v>48</v>
      </c>
      <c r="U551" s="5" t="s">
        <v>48</v>
      </c>
      <c r="V551" s="5" t="s">
        <v>48</v>
      </c>
      <c r="W551" s="5" t="s">
        <v>10</v>
      </c>
      <c r="X551" s="5">
        <v>55</v>
      </c>
      <c r="Y551" s="5" t="s">
        <v>48</v>
      </c>
      <c r="Z551" s="5" t="s">
        <v>48</v>
      </c>
      <c r="AA551" s="5" t="s">
        <v>68</v>
      </c>
      <c r="AB551" s="5"/>
      <c r="AC551" s="5"/>
      <c r="AD551" s="5"/>
      <c r="AE551" s="5" t="s">
        <v>68</v>
      </c>
      <c r="AF551" s="5"/>
      <c r="AG551" s="5"/>
      <c r="AH551" s="5" t="s">
        <v>48</v>
      </c>
      <c r="AI551" s="5"/>
      <c r="AJ551" s="5"/>
      <c r="AK551" s="5"/>
      <c r="AL551" s="5"/>
      <c r="AM551" s="5"/>
      <c r="AN551" s="5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</row>
    <row r="552" spans="1:240" ht="30" customHeight="1">
      <c r="A552" s="5">
        <v>550</v>
      </c>
      <c r="B552" s="5" t="s">
        <v>68</v>
      </c>
      <c r="C552" s="5"/>
      <c r="D552" s="5"/>
      <c r="E552" s="5">
        <v>3063</v>
      </c>
      <c r="F552" s="5">
        <v>1434</v>
      </c>
      <c r="G552" s="5">
        <v>1530</v>
      </c>
      <c r="H552" s="5" t="s">
        <v>48</v>
      </c>
      <c r="I552" s="5" t="s">
        <v>17</v>
      </c>
      <c r="J552" s="24">
        <v>29.300831905128856</v>
      </c>
      <c r="K552" s="30">
        <v>5</v>
      </c>
      <c r="L552" s="5">
        <v>156</v>
      </c>
      <c r="M552" s="31">
        <v>10</v>
      </c>
      <c r="N552" s="5" t="s">
        <v>48</v>
      </c>
      <c r="O552" s="5">
        <v>60000</v>
      </c>
      <c r="P552" s="5" t="s">
        <v>48</v>
      </c>
      <c r="Q552" s="5">
        <v>3</v>
      </c>
      <c r="R552" s="5">
        <v>4</v>
      </c>
      <c r="S552" s="5">
        <v>900</v>
      </c>
      <c r="T552" s="5" t="s">
        <v>48</v>
      </c>
      <c r="U552" s="5" t="s">
        <v>48</v>
      </c>
      <c r="V552" s="5" t="s">
        <v>48</v>
      </c>
      <c r="W552" s="5" t="s">
        <v>10</v>
      </c>
      <c r="X552" s="5">
        <v>56</v>
      </c>
      <c r="Y552" s="5" t="s">
        <v>48</v>
      </c>
      <c r="Z552" s="5" t="s">
        <v>48</v>
      </c>
      <c r="AA552" s="5" t="s">
        <v>68</v>
      </c>
      <c r="AB552" s="5"/>
      <c r="AC552" s="5"/>
      <c r="AD552" s="5"/>
      <c r="AE552" s="5" t="s">
        <v>68</v>
      </c>
      <c r="AF552" s="5"/>
      <c r="AG552" s="5"/>
      <c r="AH552" s="5" t="s">
        <v>48</v>
      </c>
      <c r="AI552" s="5"/>
      <c r="AJ552" s="5"/>
      <c r="AK552" s="5"/>
      <c r="AL552" s="5"/>
      <c r="AM552" s="5"/>
      <c r="AN552" s="5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</row>
    <row r="553" spans="1:240" ht="30" customHeight="1">
      <c r="A553" s="5">
        <v>551</v>
      </c>
      <c r="B553" s="5" t="s">
        <v>68</v>
      </c>
      <c r="C553" s="5"/>
      <c r="D553" s="5"/>
      <c r="E553" s="5">
        <v>4493</v>
      </c>
      <c r="F553" s="5">
        <v>1434</v>
      </c>
      <c r="G553" s="5">
        <v>1530</v>
      </c>
      <c r="H553" s="5" t="s">
        <v>48</v>
      </c>
      <c r="I553" s="5" t="s">
        <v>17</v>
      </c>
      <c r="J553" s="24">
        <v>44.139073703238985</v>
      </c>
      <c r="K553" s="30">
        <v>5</v>
      </c>
      <c r="L553" s="5">
        <v>235</v>
      </c>
      <c r="M553" s="31">
        <v>10</v>
      </c>
      <c r="N553" s="5" t="s">
        <v>48</v>
      </c>
      <c r="O553" s="5">
        <v>90000</v>
      </c>
      <c r="P553" s="5" t="s">
        <v>48</v>
      </c>
      <c r="Q553" s="5">
        <v>3</v>
      </c>
      <c r="R553" s="5">
        <v>6</v>
      </c>
      <c r="S553" s="5">
        <v>900</v>
      </c>
      <c r="T553" s="5" t="s">
        <v>48</v>
      </c>
      <c r="U553" s="5" t="s">
        <v>48</v>
      </c>
      <c r="V553" s="5" t="s">
        <v>48</v>
      </c>
      <c r="W553" s="5" t="s">
        <v>10</v>
      </c>
      <c r="X553" s="5">
        <v>58</v>
      </c>
      <c r="Y553" s="5" t="s">
        <v>48</v>
      </c>
      <c r="Z553" s="5" t="s">
        <v>48</v>
      </c>
      <c r="AA553" s="5" t="s">
        <v>68</v>
      </c>
      <c r="AB553" s="5"/>
      <c r="AC553" s="5"/>
      <c r="AD553" s="5"/>
      <c r="AE553" s="5" t="s">
        <v>68</v>
      </c>
      <c r="AF553" s="5"/>
      <c r="AG553" s="5"/>
      <c r="AH553" s="5" t="s">
        <v>48</v>
      </c>
      <c r="AI553" s="5"/>
      <c r="AJ553" s="5"/>
      <c r="AK553" s="5"/>
      <c r="AL553" s="5"/>
      <c r="AM553" s="5"/>
      <c r="AN553" s="5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</row>
    <row r="554" spans="1:240" ht="30" customHeight="1">
      <c r="A554" s="5">
        <v>552</v>
      </c>
      <c r="B554" s="5" t="s">
        <v>68</v>
      </c>
      <c r="C554" s="5"/>
      <c r="D554" s="5"/>
      <c r="E554" s="5">
        <v>1610</v>
      </c>
      <c r="F554" s="5">
        <v>780</v>
      </c>
      <c r="G554" s="5">
        <v>1065</v>
      </c>
      <c r="H554" s="5" t="s">
        <v>48</v>
      </c>
      <c r="I554" s="5" t="s">
        <v>17</v>
      </c>
      <c r="J554" s="24">
        <v>8.639988895102098</v>
      </c>
      <c r="K554" s="30">
        <v>5</v>
      </c>
      <c r="L554" s="5">
        <v>46</v>
      </c>
      <c r="M554" s="31">
        <v>10</v>
      </c>
      <c r="N554" s="5" t="s">
        <v>48</v>
      </c>
      <c r="O554" s="5">
        <v>15800</v>
      </c>
      <c r="P554" s="5" t="s">
        <v>48</v>
      </c>
      <c r="Q554" s="5">
        <v>3</v>
      </c>
      <c r="R554" s="5">
        <v>2</v>
      </c>
      <c r="S554" s="5">
        <v>500</v>
      </c>
      <c r="T554" s="5" t="s">
        <v>48</v>
      </c>
      <c r="U554" s="5" t="s">
        <v>48</v>
      </c>
      <c r="V554" s="5" t="s">
        <v>48</v>
      </c>
      <c r="W554" s="5" t="s">
        <v>10</v>
      </c>
      <c r="X554" s="5">
        <v>51</v>
      </c>
      <c r="Y554" s="5" t="s">
        <v>48</v>
      </c>
      <c r="Z554" s="5" t="s">
        <v>48</v>
      </c>
      <c r="AA554" s="5" t="s">
        <v>68</v>
      </c>
      <c r="AB554" s="5"/>
      <c r="AC554" s="5"/>
      <c r="AD554" s="5"/>
      <c r="AE554" s="5" t="s">
        <v>68</v>
      </c>
      <c r="AF554" s="5"/>
      <c r="AG554" s="5"/>
      <c r="AH554" s="5" t="s">
        <v>48</v>
      </c>
      <c r="AI554" s="5"/>
      <c r="AJ554" s="5"/>
      <c r="AK554" s="5"/>
      <c r="AL554" s="5"/>
      <c r="AM554" s="5"/>
      <c r="AN554" s="5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</row>
    <row r="555" spans="1:240" ht="30" customHeight="1">
      <c r="A555" s="5">
        <v>553</v>
      </c>
      <c r="B555" s="5" t="s">
        <v>68</v>
      </c>
      <c r="C555" s="5"/>
      <c r="D555" s="5"/>
      <c r="E555" s="5">
        <v>2265</v>
      </c>
      <c r="F555" s="5">
        <v>780</v>
      </c>
      <c r="G555" s="5">
        <v>1065</v>
      </c>
      <c r="H555" s="5" t="s">
        <v>48</v>
      </c>
      <c r="I555" s="5" t="s">
        <v>17</v>
      </c>
      <c r="J555" s="24">
        <v>12.959983342653146</v>
      </c>
      <c r="K555" s="30">
        <v>5</v>
      </c>
      <c r="L555" s="5">
        <v>69</v>
      </c>
      <c r="M555" s="31">
        <v>10</v>
      </c>
      <c r="N555" s="5" t="s">
        <v>48</v>
      </c>
      <c r="O555" s="5">
        <v>23700</v>
      </c>
      <c r="P555" s="5" t="s">
        <v>48</v>
      </c>
      <c r="Q555" s="5">
        <v>3</v>
      </c>
      <c r="R555" s="5">
        <v>3</v>
      </c>
      <c r="S555" s="5">
        <v>500</v>
      </c>
      <c r="T555" s="5" t="s">
        <v>48</v>
      </c>
      <c r="U555" s="5" t="s">
        <v>48</v>
      </c>
      <c r="V555" s="5" t="s">
        <v>48</v>
      </c>
      <c r="W555" s="5" t="s">
        <v>10</v>
      </c>
      <c r="X555" s="5">
        <v>53</v>
      </c>
      <c r="Y555" s="5" t="s">
        <v>48</v>
      </c>
      <c r="Z555" s="5" t="s">
        <v>48</v>
      </c>
      <c r="AA555" s="5" t="s">
        <v>68</v>
      </c>
      <c r="AB555" s="5"/>
      <c r="AC555" s="5"/>
      <c r="AD555" s="5"/>
      <c r="AE555" s="5" t="s">
        <v>68</v>
      </c>
      <c r="AF555" s="5"/>
      <c r="AG555" s="5"/>
      <c r="AH555" s="5" t="s">
        <v>48</v>
      </c>
      <c r="AI555" s="5"/>
      <c r="AJ555" s="5"/>
      <c r="AK555" s="5"/>
      <c r="AL555" s="5"/>
      <c r="AM555" s="5"/>
      <c r="AN555" s="5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</row>
    <row r="556" spans="1:240" ht="30" customHeight="1">
      <c r="A556" s="5">
        <v>554</v>
      </c>
      <c r="B556" s="5" t="s">
        <v>68</v>
      </c>
      <c r="C556" s="5"/>
      <c r="D556" s="5"/>
      <c r="E556" s="5">
        <v>2920</v>
      </c>
      <c r="F556" s="5">
        <v>780</v>
      </c>
      <c r="G556" s="5">
        <v>1065</v>
      </c>
      <c r="H556" s="5" t="s">
        <v>48</v>
      </c>
      <c r="I556" s="5" t="s">
        <v>17</v>
      </c>
      <c r="J556" s="24">
        <v>17.279977790204196</v>
      </c>
      <c r="K556" s="30">
        <v>5</v>
      </c>
      <c r="L556" s="5">
        <v>92</v>
      </c>
      <c r="M556" s="31">
        <v>10</v>
      </c>
      <c r="N556" s="5" t="s">
        <v>48</v>
      </c>
      <c r="O556" s="5">
        <v>31600</v>
      </c>
      <c r="P556" s="5" t="s">
        <v>48</v>
      </c>
      <c r="Q556" s="5">
        <v>3</v>
      </c>
      <c r="R556" s="5">
        <v>4</v>
      </c>
      <c r="S556" s="5">
        <v>500</v>
      </c>
      <c r="T556" s="5" t="s">
        <v>48</v>
      </c>
      <c r="U556" s="5" t="s">
        <v>48</v>
      </c>
      <c r="V556" s="5" t="s">
        <v>48</v>
      </c>
      <c r="W556" s="5" t="s">
        <v>10</v>
      </c>
      <c r="X556" s="5">
        <v>54</v>
      </c>
      <c r="Y556" s="5" t="s">
        <v>48</v>
      </c>
      <c r="Z556" s="5" t="s">
        <v>48</v>
      </c>
      <c r="AA556" s="5" t="s">
        <v>68</v>
      </c>
      <c r="AB556" s="5"/>
      <c r="AC556" s="5"/>
      <c r="AD556" s="5"/>
      <c r="AE556" s="5" t="s">
        <v>68</v>
      </c>
      <c r="AF556" s="5"/>
      <c r="AG556" s="5"/>
      <c r="AH556" s="5" t="s">
        <v>48</v>
      </c>
      <c r="AI556" s="5"/>
      <c r="AJ556" s="5"/>
      <c r="AK556" s="5"/>
      <c r="AL556" s="5"/>
      <c r="AM556" s="5"/>
      <c r="AN556" s="5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</row>
    <row r="557" spans="1:240" ht="30" customHeight="1">
      <c r="A557" s="5">
        <v>555</v>
      </c>
      <c r="B557" s="5" t="s">
        <v>68</v>
      </c>
      <c r="C557" s="5"/>
      <c r="D557" s="5"/>
      <c r="E557" s="5">
        <v>3575</v>
      </c>
      <c r="F557" s="5">
        <v>780</v>
      </c>
      <c r="G557" s="5">
        <v>1065</v>
      </c>
      <c r="H557" s="5" t="s">
        <v>48</v>
      </c>
      <c r="I557" s="5" t="s">
        <v>17</v>
      </c>
      <c r="J557" s="24">
        <v>21.599972237755246</v>
      </c>
      <c r="K557" s="30">
        <v>5</v>
      </c>
      <c r="L557" s="5">
        <v>115</v>
      </c>
      <c r="M557" s="31">
        <v>10</v>
      </c>
      <c r="N557" s="5" t="s">
        <v>48</v>
      </c>
      <c r="O557" s="5">
        <v>39500</v>
      </c>
      <c r="P557" s="5" t="s">
        <v>48</v>
      </c>
      <c r="Q557" s="5">
        <v>3</v>
      </c>
      <c r="R557" s="5">
        <v>5</v>
      </c>
      <c r="S557" s="5">
        <v>500</v>
      </c>
      <c r="T557" s="5" t="s">
        <v>48</v>
      </c>
      <c r="U557" s="5" t="s">
        <v>48</v>
      </c>
      <c r="V557" s="5" t="s">
        <v>48</v>
      </c>
      <c r="W557" s="5" t="s">
        <v>10</v>
      </c>
      <c r="X557" s="5">
        <v>55</v>
      </c>
      <c r="Y557" s="5" t="s">
        <v>48</v>
      </c>
      <c r="Z557" s="5" t="s">
        <v>48</v>
      </c>
      <c r="AA557" s="5" t="s">
        <v>68</v>
      </c>
      <c r="AB557" s="5"/>
      <c r="AC557" s="5"/>
      <c r="AD557" s="5"/>
      <c r="AE557" s="5" t="s">
        <v>68</v>
      </c>
      <c r="AF557" s="5"/>
      <c r="AG557" s="5"/>
      <c r="AH557" s="5" t="s">
        <v>48</v>
      </c>
      <c r="AI557" s="5"/>
      <c r="AJ557" s="5"/>
      <c r="AK557" s="5"/>
      <c r="AL557" s="5"/>
      <c r="AM557" s="5"/>
      <c r="AN557" s="5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</row>
    <row r="558" spans="1:240" ht="30" customHeight="1">
      <c r="A558" s="5">
        <v>556</v>
      </c>
      <c r="B558" s="5" t="s">
        <v>68</v>
      </c>
      <c r="C558" s="5"/>
      <c r="D558" s="5"/>
      <c r="E558" s="5">
        <v>1610</v>
      </c>
      <c r="F558" s="5">
        <v>780</v>
      </c>
      <c r="G558" s="5">
        <v>1065</v>
      </c>
      <c r="H558" s="5" t="s">
        <v>48</v>
      </c>
      <c r="I558" s="5" t="s">
        <v>17</v>
      </c>
      <c r="J558" s="24">
        <v>7.1373821307365155</v>
      </c>
      <c r="K558" s="30">
        <v>5</v>
      </c>
      <c r="L558" s="5">
        <v>38</v>
      </c>
      <c r="M558" s="31">
        <v>10</v>
      </c>
      <c r="N558" s="5" t="s">
        <v>48</v>
      </c>
      <c r="O558" s="5">
        <v>10400</v>
      </c>
      <c r="P558" s="5" t="s">
        <v>48</v>
      </c>
      <c r="Q558" s="5">
        <v>3</v>
      </c>
      <c r="R558" s="5">
        <v>2</v>
      </c>
      <c r="S558" s="5">
        <v>500</v>
      </c>
      <c r="T558" s="5" t="s">
        <v>48</v>
      </c>
      <c r="U558" s="5" t="s">
        <v>48</v>
      </c>
      <c r="V558" s="5" t="s">
        <v>48</v>
      </c>
      <c r="W558" s="5" t="s">
        <v>10</v>
      </c>
      <c r="X558" s="5">
        <v>41</v>
      </c>
      <c r="Y558" s="5" t="s">
        <v>48</v>
      </c>
      <c r="Z558" s="5" t="s">
        <v>48</v>
      </c>
      <c r="AA558" s="5" t="s">
        <v>68</v>
      </c>
      <c r="AB558" s="5"/>
      <c r="AC558" s="5"/>
      <c r="AD558" s="5"/>
      <c r="AE558" s="5" t="s">
        <v>68</v>
      </c>
      <c r="AF558" s="5"/>
      <c r="AG558" s="5"/>
      <c r="AH558" s="5" t="s">
        <v>48</v>
      </c>
      <c r="AI558" s="5"/>
      <c r="AJ558" s="5"/>
      <c r="AK558" s="5"/>
      <c r="AL558" s="5"/>
      <c r="AM558" s="5"/>
      <c r="AN558" s="5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</row>
    <row r="559" spans="1:240" ht="30" customHeight="1">
      <c r="A559" s="5">
        <v>557</v>
      </c>
      <c r="B559" s="5" t="s">
        <v>68</v>
      </c>
      <c r="C559" s="5"/>
      <c r="D559" s="5"/>
      <c r="E559" s="5">
        <v>2265</v>
      </c>
      <c r="F559" s="5">
        <v>780</v>
      </c>
      <c r="G559" s="5">
        <v>1065</v>
      </c>
      <c r="H559" s="5" t="s">
        <v>48</v>
      </c>
      <c r="I559" s="5" t="s">
        <v>17</v>
      </c>
      <c r="J559" s="24">
        <v>10.706073196104773</v>
      </c>
      <c r="K559" s="30">
        <v>5</v>
      </c>
      <c r="L559" s="5">
        <v>57</v>
      </c>
      <c r="M559" s="31">
        <v>10</v>
      </c>
      <c r="N559" s="5" t="s">
        <v>48</v>
      </c>
      <c r="O559" s="5">
        <v>15600</v>
      </c>
      <c r="P559" s="5" t="s">
        <v>48</v>
      </c>
      <c r="Q559" s="5">
        <v>3</v>
      </c>
      <c r="R559" s="5">
        <v>3</v>
      </c>
      <c r="S559" s="5">
        <v>500</v>
      </c>
      <c r="T559" s="5" t="s">
        <v>48</v>
      </c>
      <c r="U559" s="5" t="s">
        <v>48</v>
      </c>
      <c r="V559" s="5" t="s">
        <v>48</v>
      </c>
      <c r="W559" s="5" t="s">
        <v>10</v>
      </c>
      <c r="X559" s="5">
        <v>43</v>
      </c>
      <c r="Y559" s="5" t="s">
        <v>48</v>
      </c>
      <c r="Z559" s="5" t="s">
        <v>48</v>
      </c>
      <c r="AA559" s="5" t="s">
        <v>68</v>
      </c>
      <c r="AB559" s="5"/>
      <c r="AC559" s="5"/>
      <c r="AD559" s="5"/>
      <c r="AE559" s="5" t="s">
        <v>68</v>
      </c>
      <c r="AF559" s="5"/>
      <c r="AG559" s="5"/>
      <c r="AH559" s="5" t="s">
        <v>48</v>
      </c>
      <c r="AI559" s="5"/>
      <c r="AJ559" s="5"/>
      <c r="AK559" s="5"/>
      <c r="AL559" s="5"/>
      <c r="AM559" s="5"/>
      <c r="AN559" s="5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</row>
    <row r="560" spans="1:240" ht="30" customHeight="1">
      <c r="A560" s="5">
        <v>558</v>
      </c>
      <c r="B560" s="5" t="s">
        <v>68</v>
      </c>
      <c r="C560" s="5"/>
      <c r="D560" s="5"/>
      <c r="E560" s="5">
        <v>2920</v>
      </c>
      <c r="F560" s="5">
        <v>780</v>
      </c>
      <c r="G560" s="5">
        <v>1065</v>
      </c>
      <c r="H560" s="5" t="s">
        <v>48</v>
      </c>
      <c r="I560" s="5" t="s">
        <v>17</v>
      </c>
      <c r="J560" s="24">
        <v>14.274764261473031</v>
      </c>
      <c r="K560" s="30">
        <v>5</v>
      </c>
      <c r="L560" s="5">
        <v>76</v>
      </c>
      <c r="M560" s="31">
        <v>10</v>
      </c>
      <c r="N560" s="5" t="s">
        <v>48</v>
      </c>
      <c r="O560" s="5">
        <v>20800</v>
      </c>
      <c r="P560" s="5" t="s">
        <v>48</v>
      </c>
      <c r="Q560" s="5">
        <v>3</v>
      </c>
      <c r="R560" s="5">
        <v>4</v>
      </c>
      <c r="S560" s="5">
        <v>500</v>
      </c>
      <c r="T560" s="5" t="s">
        <v>48</v>
      </c>
      <c r="U560" s="5" t="s">
        <v>48</v>
      </c>
      <c r="V560" s="5" t="s">
        <v>48</v>
      </c>
      <c r="W560" s="5" t="s">
        <v>10</v>
      </c>
      <c r="X560" s="5">
        <v>44</v>
      </c>
      <c r="Y560" s="5" t="s">
        <v>48</v>
      </c>
      <c r="Z560" s="5" t="s">
        <v>48</v>
      </c>
      <c r="AA560" s="5" t="s">
        <v>68</v>
      </c>
      <c r="AB560" s="5"/>
      <c r="AC560" s="5"/>
      <c r="AD560" s="5"/>
      <c r="AE560" s="5" t="s">
        <v>68</v>
      </c>
      <c r="AF560" s="5"/>
      <c r="AG560" s="5"/>
      <c r="AH560" s="5" t="s">
        <v>48</v>
      </c>
      <c r="AI560" s="5"/>
      <c r="AJ560" s="5"/>
      <c r="AK560" s="5"/>
      <c r="AL560" s="5"/>
      <c r="AM560" s="5"/>
      <c r="AN560" s="5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</row>
    <row r="561" spans="1:240" ht="30" customHeight="1">
      <c r="A561" s="5">
        <v>559</v>
      </c>
      <c r="B561" s="5" t="s">
        <v>68</v>
      </c>
      <c r="C561" s="5"/>
      <c r="D561" s="5"/>
      <c r="E561" s="5">
        <v>3575</v>
      </c>
      <c r="F561" s="5">
        <v>780</v>
      </c>
      <c r="G561" s="5">
        <v>1065</v>
      </c>
      <c r="H561" s="5" t="s">
        <v>48</v>
      </c>
      <c r="I561" s="5" t="s">
        <v>17</v>
      </c>
      <c r="J561" s="24">
        <v>17.843455326841291</v>
      </c>
      <c r="K561" s="30">
        <v>5</v>
      </c>
      <c r="L561" s="5">
        <v>95</v>
      </c>
      <c r="M561" s="31">
        <v>10</v>
      </c>
      <c r="N561" s="5" t="s">
        <v>48</v>
      </c>
      <c r="O561" s="5">
        <v>26000</v>
      </c>
      <c r="P561" s="5" t="s">
        <v>48</v>
      </c>
      <c r="Q561" s="5">
        <v>3</v>
      </c>
      <c r="R561" s="5">
        <v>5</v>
      </c>
      <c r="S561" s="5">
        <v>500</v>
      </c>
      <c r="T561" s="5" t="s">
        <v>48</v>
      </c>
      <c r="U561" s="5" t="s">
        <v>48</v>
      </c>
      <c r="V561" s="5" t="s">
        <v>48</v>
      </c>
      <c r="W561" s="5" t="s">
        <v>10</v>
      </c>
      <c r="X561" s="5">
        <v>45</v>
      </c>
      <c r="Y561" s="5" t="s">
        <v>48</v>
      </c>
      <c r="Z561" s="5" t="s">
        <v>48</v>
      </c>
      <c r="AA561" s="5" t="s">
        <v>68</v>
      </c>
      <c r="AB561" s="5"/>
      <c r="AC561" s="5"/>
      <c r="AD561" s="5"/>
      <c r="AE561" s="5" t="s">
        <v>68</v>
      </c>
      <c r="AF561" s="5"/>
      <c r="AG561" s="5"/>
      <c r="AH561" s="5" t="s">
        <v>48</v>
      </c>
      <c r="AI561" s="5"/>
      <c r="AJ561" s="5"/>
      <c r="AK561" s="5"/>
      <c r="AL561" s="5"/>
      <c r="AM561" s="5"/>
      <c r="AN561" s="5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</row>
    <row r="562" spans="1:240" ht="30" customHeight="1">
      <c r="A562" s="5">
        <v>560</v>
      </c>
      <c r="B562" s="5" t="s">
        <v>68</v>
      </c>
      <c r="C562" s="5"/>
      <c r="D562" s="5"/>
      <c r="E562" s="5">
        <v>1610</v>
      </c>
      <c r="F562" s="5">
        <v>780</v>
      </c>
      <c r="G562" s="5">
        <v>1065</v>
      </c>
      <c r="H562" s="5" t="s">
        <v>48</v>
      </c>
      <c r="I562" s="5" t="s">
        <v>17</v>
      </c>
      <c r="J562" s="24">
        <v>5.0712978297338402</v>
      </c>
      <c r="K562" s="30">
        <v>5</v>
      </c>
      <c r="L562" s="5">
        <v>27</v>
      </c>
      <c r="M562" s="31">
        <v>10</v>
      </c>
      <c r="N562" s="5" t="s">
        <v>48</v>
      </c>
      <c r="O562" s="5">
        <v>6800</v>
      </c>
      <c r="P562" s="5" t="s">
        <v>48</v>
      </c>
      <c r="Q562" s="5">
        <v>3</v>
      </c>
      <c r="R562" s="5">
        <v>2</v>
      </c>
      <c r="S562" s="5">
        <v>500</v>
      </c>
      <c r="T562" s="5" t="s">
        <v>48</v>
      </c>
      <c r="U562" s="5" t="s">
        <v>48</v>
      </c>
      <c r="V562" s="5" t="s">
        <v>48</v>
      </c>
      <c r="W562" s="5" t="s">
        <v>10</v>
      </c>
      <c r="X562" s="5">
        <v>51</v>
      </c>
      <c r="Y562" s="5" t="s">
        <v>48</v>
      </c>
      <c r="Z562" s="5" t="s">
        <v>48</v>
      </c>
      <c r="AA562" s="5" t="s">
        <v>68</v>
      </c>
      <c r="AB562" s="5"/>
      <c r="AC562" s="5"/>
      <c r="AD562" s="5"/>
      <c r="AE562" s="5" t="s">
        <v>68</v>
      </c>
      <c r="AF562" s="5"/>
      <c r="AG562" s="5"/>
      <c r="AH562" s="5" t="s">
        <v>48</v>
      </c>
      <c r="AI562" s="5"/>
      <c r="AJ562" s="5"/>
      <c r="AK562" s="5"/>
      <c r="AL562" s="5"/>
      <c r="AM562" s="5"/>
      <c r="AN562" s="5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</row>
    <row r="563" spans="1:240" ht="30" customHeight="1">
      <c r="A563" s="5">
        <v>561</v>
      </c>
      <c r="B563" s="5" t="s">
        <v>68</v>
      </c>
      <c r="C563" s="5"/>
      <c r="D563" s="5"/>
      <c r="E563" s="5">
        <v>2265</v>
      </c>
      <c r="F563" s="5">
        <v>780</v>
      </c>
      <c r="G563" s="5">
        <v>1065</v>
      </c>
      <c r="H563" s="5" t="s">
        <v>48</v>
      </c>
      <c r="I563" s="5" t="s">
        <v>17</v>
      </c>
      <c r="J563" s="24">
        <v>7.7008596673736092</v>
      </c>
      <c r="K563" s="30">
        <v>5</v>
      </c>
      <c r="L563" s="5">
        <v>41</v>
      </c>
      <c r="M563" s="31">
        <v>10</v>
      </c>
      <c r="N563" s="5" t="s">
        <v>48</v>
      </c>
      <c r="O563" s="5">
        <v>10200</v>
      </c>
      <c r="P563" s="5" t="s">
        <v>48</v>
      </c>
      <c r="Q563" s="5">
        <v>3</v>
      </c>
      <c r="R563" s="5">
        <v>3</v>
      </c>
      <c r="S563" s="5">
        <v>500</v>
      </c>
      <c r="T563" s="5" t="s">
        <v>48</v>
      </c>
      <c r="U563" s="5" t="s">
        <v>48</v>
      </c>
      <c r="V563" s="5" t="s">
        <v>48</v>
      </c>
      <c r="W563" s="5" t="s">
        <v>10</v>
      </c>
      <c r="X563" s="5">
        <v>53</v>
      </c>
      <c r="Y563" s="5" t="s">
        <v>48</v>
      </c>
      <c r="Z563" s="5" t="s">
        <v>48</v>
      </c>
      <c r="AA563" s="5" t="s">
        <v>68</v>
      </c>
      <c r="AB563" s="5"/>
      <c r="AC563" s="5"/>
      <c r="AD563" s="5"/>
      <c r="AE563" s="5" t="s">
        <v>68</v>
      </c>
      <c r="AF563" s="5"/>
      <c r="AG563" s="5"/>
      <c r="AH563" s="5" t="s">
        <v>48</v>
      </c>
      <c r="AI563" s="5"/>
      <c r="AJ563" s="5"/>
      <c r="AK563" s="5"/>
      <c r="AL563" s="5"/>
      <c r="AM563" s="5"/>
      <c r="AN563" s="5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</row>
    <row r="564" spans="1:240" ht="30" customHeight="1">
      <c r="A564" s="5">
        <v>562</v>
      </c>
      <c r="B564" s="5" t="s">
        <v>68</v>
      </c>
      <c r="C564" s="5"/>
      <c r="D564" s="5"/>
      <c r="E564" s="5">
        <v>2920</v>
      </c>
      <c r="F564" s="5">
        <v>780</v>
      </c>
      <c r="G564" s="5">
        <v>1065</v>
      </c>
      <c r="H564" s="5" t="s">
        <v>48</v>
      </c>
      <c r="I564" s="5" t="s">
        <v>17</v>
      </c>
      <c r="J564" s="24">
        <v>10.14259565946768</v>
      </c>
      <c r="K564" s="30">
        <v>5</v>
      </c>
      <c r="L564" s="5">
        <v>54</v>
      </c>
      <c r="M564" s="31">
        <v>10</v>
      </c>
      <c r="N564" s="5" t="s">
        <v>48</v>
      </c>
      <c r="O564" s="5">
        <v>13600</v>
      </c>
      <c r="P564" s="5" t="s">
        <v>48</v>
      </c>
      <c r="Q564" s="5">
        <v>3</v>
      </c>
      <c r="R564" s="5">
        <v>4</v>
      </c>
      <c r="S564" s="5">
        <v>500</v>
      </c>
      <c r="T564" s="5" t="s">
        <v>48</v>
      </c>
      <c r="U564" s="5" t="s">
        <v>48</v>
      </c>
      <c r="V564" s="5" t="s">
        <v>48</v>
      </c>
      <c r="W564" s="5" t="s">
        <v>10</v>
      </c>
      <c r="X564" s="5">
        <v>54</v>
      </c>
      <c r="Y564" s="5" t="s">
        <v>48</v>
      </c>
      <c r="Z564" s="5" t="s">
        <v>48</v>
      </c>
      <c r="AA564" s="5" t="s">
        <v>68</v>
      </c>
      <c r="AB564" s="5"/>
      <c r="AC564" s="5"/>
      <c r="AD564" s="5"/>
      <c r="AE564" s="5" t="s">
        <v>68</v>
      </c>
      <c r="AF564" s="5"/>
      <c r="AG564" s="5"/>
      <c r="AH564" s="5" t="s">
        <v>48</v>
      </c>
      <c r="AI564" s="5"/>
      <c r="AJ564" s="5"/>
      <c r="AK564" s="5"/>
      <c r="AL564" s="5"/>
      <c r="AM564" s="5"/>
      <c r="AN564" s="5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</row>
    <row r="565" spans="1:240" ht="30" customHeight="1">
      <c r="A565" s="5">
        <v>563</v>
      </c>
      <c r="B565" s="5" t="s">
        <v>68</v>
      </c>
      <c r="C565" s="5"/>
      <c r="D565" s="5"/>
      <c r="E565" s="5">
        <v>3575</v>
      </c>
      <c r="F565" s="5">
        <v>780</v>
      </c>
      <c r="G565" s="5">
        <v>1065</v>
      </c>
      <c r="H565" s="5" t="s">
        <v>48</v>
      </c>
      <c r="I565" s="5" t="s">
        <v>17</v>
      </c>
      <c r="J565" s="24">
        <v>12.396505806016053</v>
      </c>
      <c r="K565" s="30">
        <v>5</v>
      </c>
      <c r="L565" s="5">
        <v>66</v>
      </c>
      <c r="M565" s="31">
        <v>10</v>
      </c>
      <c r="N565" s="5" t="s">
        <v>48</v>
      </c>
      <c r="O565" s="5">
        <v>17000</v>
      </c>
      <c r="P565" s="5" t="s">
        <v>48</v>
      </c>
      <c r="Q565" s="5">
        <v>3</v>
      </c>
      <c r="R565" s="5">
        <v>5</v>
      </c>
      <c r="S565" s="5">
        <v>500</v>
      </c>
      <c r="T565" s="5" t="s">
        <v>48</v>
      </c>
      <c r="U565" s="5" t="s">
        <v>48</v>
      </c>
      <c r="V565" s="5" t="s">
        <v>48</v>
      </c>
      <c r="W565" s="5" t="s">
        <v>10</v>
      </c>
      <c r="X565" s="5">
        <v>55</v>
      </c>
      <c r="Y565" s="5" t="s">
        <v>48</v>
      </c>
      <c r="Z565" s="5" t="s">
        <v>48</v>
      </c>
      <c r="AA565" s="5" t="s">
        <v>68</v>
      </c>
      <c r="AB565" s="5"/>
      <c r="AC565" s="5"/>
      <c r="AD565" s="5"/>
      <c r="AE565" s="5" t="s">
        <v>68</v>
      </c>
      <c r="AF565" s="5"/>
      <c r="AG565" s="5"/>
      <c r="AH565" s="5" t="s">
        <v>48</v>
      </c>
      <c r="AI565" s="5"/>
      <c r="AJ565" s="5"/>
      <c r="AK565" s="5"/>
      <c r="AL565" s="5"/>
      <c r="AM565" s="5"/>
      <c r="AN565" s="5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</row>
    <row r="566" spans="1:240" ht="30" customHeight="1">
      <c r="A566" s="5">
        <v>564</v>
      </c>
      <c r="B566" s="5" t="s">
        <v>68</v>
      </c>
      <c r="C566" s="5"/>
      <c r="D566" s="5"/>
      <c r="E566" s="5">
        <v>2270</v>
      </c>
      <c r="F566" s="5">
        <v>1100</v>
      </c>
      <c r="G566" s="5">
        <v>1590</v>
      </c>
      <c r="H566" s="5" t="s">
        <v>48</v>
      </c>
      <c r="I566" s="5" t="s">
        <v>17</v>
      </c>
      <c r="J566" s="24">
        <v>24.605185766486414</v>
      </c>
      <c r="K566" s="30">
        <v>5</v>
      </c>
      <c r="L566" s="5">
        <v>131</v>
      </c>
      <c r="M566" s="31">
        <v>10</v>
      </c>
      <c r="N566" s="5" t="s">
        <v>48</v>
      </c>
      <c r="O566" s="5">
        <v>46000</v>
      </c>
      <c r="P566" s="5" t="s">
        <v>48</v>
      </c>
      <c r="Q566" s="5">
        <v>3</v>
      </c>
      <c r="R566" s="5">
        <v>2</v>
      </c>
      <c r="S566" s="5">
        <v>800</v>
      </c>
      <c r="T566" s="5" t="s">
        <v>48</v>
      </c>
      <c r="U566" s="5" t="s">
        <v>48</v>
      </c>
      <c r="V566" s="5" t="s">
        <v>48</v>
      </c>
      <c r="W566" s="5" t="s">
        <v>10</v>
      </c>
      <c r="X566" s="5">
        <v>51</v>
      </c>
      <c r="Y566" s="5" t="s">
        <v>48</v>
      </c>
      <c r="Z566" s="5" t="s">
        <v>48</v>
      </c>
      <c r="AA566" s="5" t="s">
        <v>68</v>
      </c>
      <c r="AB566" s="5"/>
      <c r="AC566" s="5"/>
      <c r="AD566" s="5"/>
      <c r="AE566" s="5" t="s">
        <v>68</v>
      </c>
      <c r="AF566" s="5"/>
      <c r="AG566" s="5"/>
      <c r="AH566" s="5" t="s">
        <v>48</v>
      </c>
      <c r="AI566" s="5"/>
      <c r="AJ566" s="5"/>
      <c r="AK566" s="5"/>
      <c r="AL566" s="5"/>
      <c r="AM566" s="5"/>
      <c r="AN566" s="5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</row>
    <row r="567" spans="1:240" ht="30" customHeight="1">
      <c r="A567" s="5">
        <v>565</v>
      </c>
      <c r="B567" s="5" t="s">
        <v>68</v>
      </c>
      <c r="C567" s="5"/>
      <c r="D567" s="5"/>
      <c r="E567" s="5">
        <v>3210</v>
      </c>
      <c r="F567" s="5">
        <v>1100</v>
      </c>
      <c r="G567" s="5">
        <v>1590</v>
      </c>
      <c r="H567" s="5" t="s">
        <v>48</v>
      </c>
      <c r="I567" s="5" t="s">
        <v>17</v>
      </c>
      <c r="J567" s="24">
        <v>38.316472491322344</v>
      </c>
      <c r="K567" s="30">
        <v>5</v>
      </c>
      <c r="L567" s="5">
        <v>204</v>
      </c>
      <c r="M567" s="31">
        <v>10</v>
      </c>
      <c r="N567" s="5" t="s">
        <v>48</v>
      </c>
      <c r="O567" s="5">
        <v>70000</v>
      </c>
      <c r="P567" s="5" t="s">
        <v>48</v>
      </c>
      <c r="Q567" s="5">
        <v>3</v>
      </c>
      <c r="R567" s="5">
        <v>3</v>
      </c>
      <c r="S567" s="5">
        <v>800</v>
      </c>
      <c r="T567" s="5" t="s">
        <v>48</v>
      </c>
      <c r="U567" s="5" t="s">
        <v>48</v>
      </c>
      <c r="V567" s="5" t="s">
        <v>48</v>
      </c>
      <c r="W567" s="5" t="s">
        <v>10</v>
      </c>
      <c r="X567" s="5">
        <v>53</v>
      </c>
      <c r="Y567" s="5" t="s">
        <v>48</v>
      </c>
      <c r="Z567" s="5" t="s">
        <v>48</v>
      </c>
      <c r="AA567" s="5" t="s">
        <v>68</v>
      </c>
      <c r="AB567" s="5"/>
      <c r="AC567" s="5"/>
      <c r="AD567" s="5"/>
      <c r="AE567" s="5" t="s">
        <v>68</v>
      </c>
      <c r="AF567" s="5"/>
      <c r="AG567" s="5"/>
      <c r="AH567" s="5" t="s">
        <v>48</v>
      </c>
      <c r="AI567" s="5"/>
      <c r="AJ567" s="5"/>
      <c r="AK567" s="5"/>
      <c r="AL567" s="5"/>
      <c r="AM567" s="5"/>
      <c r="AN567" s="5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</row>
    <row r="568" spans="1:240" ht="30" customHeight="1">
      <c r="A568" s="5">
        <v>566</v>
      </c>
      <c r="B568" s="5" t="s">
        <v>68</v>
      </c>
      <c r="C568" s="5"/>
      <c r="D568" s="5"/>
      <c r="E568" s="5">
        <v>4180</v>
      </c>
      <c r="F568" s="5">
        <v>1100</v>
      </c>
      <c r="G568" s="5">
        <v>1590</v>
      </c>
      <c r="H568" s="5" t="s">
        <v>48</v>
      </c>
      <c r="I568" s="5" t="s">
        <v>17</v>
      </c>
      <c r="J568" s="24">
        <v>51.652107525066896</v>
      </c>
      <c r="K568" s="30">
        <v>5</v>
      </c>
      <c r="L568" s="5">
        <v>275</v>
      </c>
      <c r="M568" s="31">
        <v>10</v>
      </c>
      <c r="N568" s="5" t="s">
        <v>48</v>
      </c>
      <c r="O568" s="5">
        <v>92000</v>
      </c>
      <c r="P568" s="5" t="s">
        <v>48</v>
      </c>
      <c r="Q568" s="5">
        <v>3</v>
      </c>
      <c r="R568" s="5">
        <v>4</v>
      </c>
      <c r="S568" s="5">
        <v>800</v>
      </c>
      <c r="T568" s="5" t="s">
        <v>48</v>
      </c>
      <c r="U568" s="5" t="s">
        <v>48</v>
      </c>
      <c r="V568" s="5" t="s">
        <v>48</v>
      </c>
      <c r="W568" s="5" t="s">
        <v>10</v>
      </c>
      <c r="X568" s="5">
        <v>54</v>
      </c>
      <c r="Y568" s="5" t="s">
        <v>48</v>
      </c>
      <c r="Z568" s="5" t="s">
        <v>48</v>
      </c>
      <c r="AA568" s="5" t="s">
        <v>68</v>
      </c>
      <c r="AB568" s="5"/>
      <c r="AC568" s="5"/>
      <c r="AD568" s="5"/>
      <c r="AE568" s="5" t="s">
        <v>68</v>
      </c>
      <c r="AF568" s="5"/>
      <c r="AG568" s="5"/>
      <c r="AH568" s="5" t="s">
        <v>48</v>
      </c>
      <c r="AI568" s="5"/>
      <c r="AJ568" s="5"/>
      <c r="AK568" s="5"/>
      <c r="AL568" s="5"/>
      <c r="AM568" s="5"/>
      <c r="AN568" s="5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</row>
    <row r="569" spans="1:240" ht="30" customHeight="1">
      <c r="A569" s="5">
        <v>567</v>
      </c>
      <c r="B569" s="5" t="s">
        <v>68</v>
      </c>
      <c r="C569" s="5"/>
      <c r="D569" s="5"/>
      <c r="E569" s="5">
        <v>5150</v>
      </c>
      <c r="F569" s="5">
        <v>1100</v>
      </c>
      <c r="G569" s="5">
        <v>1590</v>
      </c>
      <c r="H569" s="5" t="s">
        <v>48</v>
      </c>
      <c r="I569" s="5" t="s">
        <v>17</v>
      </c>
      <c r="J569" s="24">
        <v>63.485135794445853</v>
      </c>
      <c r="K569" s="30">
        <v>5</v>
      </c>
      <c r="L569" s="5">
        <v>338</v>
      </c>
      <c r="M569" s="31">
        <v>10</v>
      </c>
      <c r="N569" s="5" t="s">
        <v>48</v>
      </c>
      <c r="O569" s="5">
        <v>114000</v>
      </c>
      <c r="P569" s="5" t="s">
        <v>48</v>
      </c>
      <c r="Q569" s="5">
        <v>3</v>
      </c>
      <c r="R569" s="5">
        <v>5</v>
      </c>
      <c r="S569" s="5">
        <v>800</v>
      </c>
      <c r="T569" s="5" t="s">
        <v>48</v>
      </c>
      <c r="U569" s="5" t="s">
        <v>48</v>
      </c>
      <c r="V569" s="5" t="s">
        <v>48</v>
      </c>
      <c r="W569" s="5" t="s">
        <v>10</v>
      </c>
      <c r="X569" s="5">
        <v>55</v>
      </c>
      <c r="Y569" s="5" t="s">
        <v>48</v>
      </c>
      <c r="Z569" s="5" t="s">
        <v>48</v>
      </c>
      <c r="AA569" s="5" t="s">
        <v>68</v>
      </c>
      <c r="AB569" s="5"/>
      <c r="AC569" s="5"/>
      <c r="AD569" s="5"/>
      <c r="AE569" s="5" t="s">
        <v>68</v>
      </c>
      <c r="AF569" s="5"/>
      <c r="AG569" s="5"/>
      <c r="AH569" s="5" t="s">
        <v>48</v>
      </c>
      <c r="AI569" s="5"/>
      <c r="AJ569" s="5"/>
      <c r="AK569" s="5"/>
      <c r="AL569" s="5"/>
      <c r="AM569" s="5"/>
      <c r="AN569" s="5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</row>
    <row r="570" spans="1:240" ht="30" customHeight="1">
      <c r="A570" s="5">
        <v>568</v>
      </c>
      <c r="B570" s="5" t="s">
        <v>68</v>
      </c>
      <c r="C570" s="5"/>
      <c r="D570" s="5"/>
      <c r="E570" s="5">
        <v>3250</v>
      </c>
      <c r="F570" s="5">
        <v>2200</v>
      </c>
      <c r="G570" s="5">
        <v>2090</v>
      </c>
      <c r="H570" s="5" t="s">
        <v>48</v>
      </c>
      <c r="I570" s="5" t="s">
        <v>17</v>
      </c>
      <c r="J570" s="24">
        <v>51.652107525066896</v>
      </c>
      <c r="K570" s="30">
        <v>5</v>
      </c>
      <c r="L570" s="5">
        <v>275</v>
      </c>
      <c r="M570" s="31">
        <v>10</v>
      </c>
      <c r="N570" s="5" t="s">
        <v>48</v>
      </c>
      <c r="O570" s="5">
        <v>84000</v>
      </c>
      <c r="P570" s="5" t="s">
        <v>48</v>
      </c>
      <c r="Q570" s="5">
        <v>3</v>
      </c>
      <c r="R570" s="5">
        <v>4</v>
      </c>
      <c r="S570" s="5">
        <v>800</v>
      </c>
      <c r="T570" s="5" t="s">
        <v>48</v>
      </c>
      <c r="U570" s="5" t="s">
        <v>48</v>
      </c>
      <c r="V570" s="5" t="s">
        <v>48</v>
      </c>
      <c r="W570" s="5" t="s">
        <v>10</v>
      </c>
      <c r="X570" s="5">
        <v>54</v>
      </c>
      <c r="Y570" s="5" t="s">
        <v>48</v>
      </c>
      <c r="Z570" s="5" t="s">
        <v>48</v>
      </c>
      <c r="AA570" s="5" t="s">
        <v>68</v>
      </c>
      <c r="AB570" s="5"/>
      <c r="AC570" s="5"/>
      <c r="AD570" s="5"/>
      <c r="AE570" s="5" t="s">
        <v>68</v>
      </c>
      <c r="AF570" s="5"/>
      <c r="AG570" s="5"/>
      <c r="AH570" s="5" t="s">
        <v>48</v>
      </c>
      <c r="AI570" s="5"/>
      <c r="AJ570" s="5"/>
      <c r="AK570" s="5"/>
      <c r="AL570" s="5"/>
      <c r="AM570" s="5"/>
      <c r="AN570" s="5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</row>
    <row r="571" spans="1:240" ht="30" customHeight="1">
      <c r="A571" s="5">
        <v>569</v>
      </c>
      <c r="B571" s="5" t="s">
        <v>68</v>
      </c>
      <c r="C571" s="5"/>
      <c r="D571" s="5"/>
      <c r="E571" s="5">
        <v>3850</v>
      </c>
      <c r="F571" s="5">
        <v>2200</v>
      </c>
      <c r="G571" s="5">
        <v>2090</v>
      </c>
      <c r="H571" s="5" t="s">
        <v>48</v>
      </c>
      <c r="I571" s="5" t="s">
        <v>17</v>
      </c>
      <c r="J571" s="24">
        <v>73.439905608367852</v>
      </c>
      <c r="K571" s="30">
        <v>5</v>
      </c>
      <c r="L571" s="5">
        <v>391</v>
      </c>
      <c r="M571" s="31">
        <v>10</v>
      </c>
      <c r="N571" s="5" t="s">
        <v>48</v>
      </c>
      <c r="O571" s="5">
        <v>122000</v>
      </c>
      <c r="P571" s="5" t="s">
        <v>48</v>
      </c>
      <c r="Q571" s="5">
        <v>3</v>
      </c>
      <c r="R571" s="5">
        <v>6</v>
      </c>
      <c r="S571" s="5">
        <v>800</v>
      </c>
      <c r="T571" s="5" t="s">
        <v>48</v>
      </c>
      <c r="U571" s="5" t="s">
        <v>48</v>
      </c>
      <c r="V571" s="5" t="s">
        <v>48</v>
      </c>
      <c r="W571" s="5" t="s">
        <v>10</v>
      </c>
      <c r="X571" s="5">
        <v>56</v>
      </c>
      <c r="Y571" s="5" t="s">
        <v>48</v>
      </c>
      <c r="Z571" s="5" t="s">
        <v>48</v>
      </c>
      <c r="AA571" s="5" t="s">
        <v>68</v>
      </c>
      <c r="AB571" s="5"/>
      <c r="AC571" s="5"/>
      <c r="AD571" s="5"/>
      <c r="AE571" s="5" t="s">
        <v>68</v>
      </c>
      <c r="AF571" s="5"/>
      <c r="AG571" s="5"/>
      <c r="AH571" s="5" t="s">
        <v>48</v>
      </c>
      <c r="AI571" s="5"/>
      <c r="AJ571" s="5"/>
      <c r="AK571" s="5"/>
      <c r="AL571" s="5"/>
      <c r="AM571" s="5"/>
      <c r="AN571" s="5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</row>
    <row r="572" spans="1:240" ht="30" customHeight="1">
      <c r="A572" s="5">
        <v>570</v>
      </c>
      <c r="B572" s="5" t="s">
        <v>68</v>
      </c>
      <c r="C572" s="5"/>
      <c r="D572" s="5"/>
      <c r="E572" s="5">
        <v>5100</v>
      </c>
      <c r="F572" s="5">
        <v>2200</v>
      </c>
      <c r="G572" s="5">
        <v>2090</v>
      </c>
      <c r="H572" s="5" t="s">
        <v>48</v>
      </c>
      <c r="I572" s="5" t="s">
        <v>17</v>
      </c>
      <c r="J572" s="24">
        <v>98.608568911491346</v>
      </c>
      <c r="K572" s="30">
        <v>5</v>
      </c>
      <c r="L572" s="5">
        <v>525</v>
      </c>
      <c r="M572" s="31">
        <v>10</v>
      </c>
      <c r="N572" s="5" t="s">
        <v>48</v>
      </c>
      <c r="O572" s="5">
        <v>165000</v>
      </c>
      <c r="P572" s="5" t="s">
        <v>48</v>
      </c>
      <c r="Q572" s="5">
        <v>3</v>
      </c>
      <c r="R572" s="5">
        <v>8</v>
      </c>
      <c r="S572" s="5">
        <v>800</v>
      </c>
      <c r="T572" s="5" t="s">
        <v>48</v>
      </c>
      <c r="U572" s="5" t="s">
        <v>48</v>
      </c>
      <c r="V572" s="5" t="s">
        <v>48</v>
      </c>
      <c r="W572" s="5" t="s">
        <v>10</v>
      </c>
      <c r="X572" s="5">
        <v>57</v>
      </c>
      <c r="Y572" s="5" t="s">
        <v>48</v>
      </c>
      <c r="Z572" s="5" t="s">
        <v>48</v>
      </c>
      <c r="AA572" s="5" t="s">
        <v>68</v>
      </c>
      <c r="AB572" s="5"/>
      <c r="AC572" s="5"/>
      <c r="AD572" s="5"/>
      <c r="AE572" s="5" t="s">
        <v>68</v>
      </c>
      <c r="AF572" s="5"/>
      <c r="AG572" s="5"/>
      <c r="AH572" s="5" t="s">
        <v>48</v>
      </c>
      <c r="AI572" s="5"/>
      <c r="AJ572" s="5"/>
      <c r="AK572" s="5"/>
      <c r="AL572" s="5"/>
      <c r="AM572" s="5"/>
      <c r="AN572" s="5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</row>
    <row r="573" spans="1:240" ht="30" customHeight="1">
      <c r="A573" s="5">
        <v>571</v>
      </c>
      <c r="B573" s="5" t="s">
        <v>68</v>
      </c>
      <c r="C573" s="5"/>
      <c r="D573" s="5"/>
      <c r="E573" s="5">
        <v>8100</v>
      </c>
      <c r="F573" s="5">
        <v>2200</v>
      </c>
      <c r="G573" s="5">
        <v>2090</v>
      </c>
      <c r="H573" s="5" t="s">
        <v>48</v>
      </c>
      <c r="I573" s="5" t="s">
        <v>17</v>
      </c>
      <c r="J573" s="24">
        <v>126.59461989780031</v>
      </c>
      <c r="K573" s="30">
        <v>5</v>
      </c>
      <c r="L573" s="5">
        <v>674</v>
      </c>
      <c r="M573" s="31">
        <v>10</v>
      </c>
      <c r="N573" s="5" t="s">
        <v>48</v>
      </c>
      <c r="O573" s="5">
        <v>205000</v>
      </c>
      <c r="P573" s="5" t="s">
        <v>48</v>
      </c>
      <c r="Q573" s="5">
        <v>3</v>
      </c>
      <c r="R573" s="5">
        <v>10</v>
      </c>
      <c r="S573" s="5">
        <v>800</v>
      </c>
      <c r="T573" s="5" t="s">
        <v>48</v>
      </c>
      <c r="U573" s="5" t="s">
        <v>48</v>
      </c>
      <c r="V573" s="5" t="s">
        <v>48</v>
      </c>
      <c r="W573" s="5" t="s">
        <v>10</v>
      </c>
      <c r="X573" s="5">
        <v>58</v>
      </c>
      <c r="Y573" s="5" t="s">
        <v>48</v>
      </c>
      <c r="Z573" s="5" t="s">
        <v>48</v>
      </c>
      <c r="AA573" s="5" t="s">
        <v>68</v>
      </c>
      <c r="AB573" s="5"/>
      <c r="AC573" s="5"/>
      <c r="AD573" s="5"/>
      <c r="AE573" s="5" t="s">
        <v>68</v>
      </c>
      <c r="AF573" s="5"/>
      <c r="AG573" s="5"/>
      <c r="AH573" s="5" t="s">
        <v>48</v>
      </c>
      <c r="AI573" s="5"/>
      <c r="AJ573" s="5"/>
      <c r="AK573" s="5"/>
      <c r="AL573" s="5"/>
      <c r="AM573" s="5"/>
      <c r="AN573" s="5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</row>
    <row r="574" spans="1:240" ht="30" customHeight="1">
      <c r="A574" s="5">
        <v>572</v>
      </c>
      <c r="B574" s="5" t="s">
        <v>68</v>
      </c>
      <c r="C574" s="5"/>
      <c r="D574" s="5"/>
      <c r="E574" s="5">
        <v>8700</v>
      </c>
      <c r="F574" s="5">
        <v>2200</v>
      </c>
      <c r="G574" s="5">
        <v>2090</v>
      </c>
      <c r="H574" s="5" t="s">
        <v>48</v>
      </c>
      <c r="I574" s="5" t="s">
        <v>17</v>
      </c>
      <c r="J574" s="24">
        <v>146.8798112167357</v>
      </c>
      <c r="K574" s="30">
        <v>5</v>
      </c>
      <c r="L574" s="5">
        <v>782</v>
      </c>
      <c r="M574" s="31">
        <v>10</v>
      </c>
      <c r="N574" s="5" t="s">
        <v>48</v>
      </c>
      <c r="O574" s="5">
        <v>242000</v>
      </c>
      <c r="P574" s="5" t="s">
        <v>48</v>
      </c>
      <c r="Q574" s="5">
        <v>3</v>
      </c>
      <c r="R574" s="5">
        <v>12</v>
      </c>
      <c r="S574" s="5">
        <v>800</v>
      </c>
      <c r="T574" s="5" t="s">
        <v>48</v>
      </c>
      <c r="U574" s="5" t="s">
        <v>48</v>
      </c>
      <c r="V574" s="5" t="s">
        <v>48</v>
      </c>
      <c r="W574" s="5" t="s">
        <v>10</v>
      </c>
      <c r="X574" s="5">
        <v>59</v>
      </c>
      <c r="Y574" s="5" t="s">
        <v>48</v>
      </c>
      <c r="Z574" s="5" t="s">
        <v>48</v>
      </c>
      <c r="AA574" s="5" t="s">
        <v>68</v>
      </c>
      <c r="AB574" s="5"/>
      <c r="AC574" s="5"/>
      <c r="AD574" s="5"/>
      <c r="AE574" s="5" t="s">
        <v>68</v>
      </c>
      <c r="AF574" s="5"/>
      <c r="AG574" s="5"/>
      <c r="AH574" s="5" t="s">
        <v>48</v>
      </c>
      <c r="AI574" s="5"/>
      <c r="AJ574" s="5"/>
      <c r="AK574" s="5"/>
      <c r="AL574" s="5"/>
      <c r="AM574" s="5"/>
      <c r="AN574" s="5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</row>
    <row r="575" spans="1:240" ht="30" customHeight="1">
      <c r="A575" s="5">
        <v>573</v>
      </c>
      <c r="B575" s="5" t="s">
        <v>68</v>
      </c>
      <c r="C575" s="5"/>
      <c r="D575" s="5"/>
      <c r="E575" s="5">
        <v>9950</v>
      </c>
      <c r="F575" s="5">
        <v>2200</v>
      </c>
      <c r="G575" s="5">
        <v>2090</v>
      </c>
      <c r="H575" s="5" t="s">
        <v>48</v>
      </c>
      <c r="I575" s="5" t="s">
        <v>17</v>
      </c>
      <c r="J575" s="24">
        <v>172.04847451985918</v>
      </c>
      <c r="K575" s="30">
        <v>5</v>
      </c>
      <c r="L575" s="5">
        <v>916</v>
      </c>
      <c r="M575" s="31">
        <v>10</v>
      </c>
      <c r="N575" s="5" t="s">
        <v>48</v>
      </c>
      <c r="O575" s="5">
        <v>282000</v>
      </c>
      <c r="P575" s="5" t="s">
        <v>48</v>
      </c>
      <c r="Q575" s="5">
        <v>3</v>
      </c>
      <c r="R575" s="5">
        <v>14</v>
      </c>
      <c r="S575" s="5">
        <v>800</v>
      </c>
      <c r="T575" s="5" t="s">
        <v>48</v>
      </c>
      <c r="U575" s="5" t="s">
        <v>48</v>
      </c>
      <c r="V575" s="5" t="s">
        <v>48</v>
      </c>
      <c r="W575" s="5" t="s">
        <v>10</v>
      </c>
      <c r="X575" s="5">
        <v>59</v>
      </c>
      <c r="Y575" s="5" t="s">
        <v>48</v>
      </c>
      <c r="Z575" s="5" t="s">
        <v>48</v>
      </c>
      <c r="AA575" s="5" t="s">
        <v>68</v>
      </c>
      <c r="AB575" s="5"/>
      <c r="AC575" s="5"/>
      <c r="AD575" s="5"/>
      <c r="AE575" s="5" t="s">
        <v>68</v>
      </c>
      <c r="AF575" s="5"/>
      <c r="AG575" s="5"/>
      <c r="AH575" s="5" t="s">
        <v>48</v>
      </c>
      <c r="AI575" s="5"/>
      <c r="AJ575" s="5"/>
      <c r="AK575" s="5"/>
      <c r="AL575" s="5"/>
      <c r="AM575" s="5"/>
      <c r="AN575" s="5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</row>
    <row r="576" spans="1:240" ht="30" customHeight="1">
      <c r="A576" s="5">
        <v>574</v>
      </c>
      <c r="B576" s="5" t="s">
        <v>68</v>
      </c>
      <c r="C576" s="5"/>
      <c r="D576" s="5"/>
      <c r="E576" s="5">
        <v>11200</v>
      </c>
      <c r="F576" s="5">
        <v>2200</v>
      </c>
      <c r="G576" s="5">
        <v>2090</v>
      </c>
      <c r="H576" s="5" t="s">
        <v>48</v>
      </c>
      <c r="I576" s="5" t="s">
        <v>17</v>
      </c>
      <c r="J576" s="24">
        <v>197.21713782298269</v>
      </c>
      <c r="K576" s="30">
        <v>5</v>
      </c>
      <c r="L576" s="5">
        <v>1050</v>
      </c>
      <c r="M576" s="31">
        <v>10</v>
      </c>
      <c r="N576" s="5" t="s">
        <v>48</v>
      </c>
      <c r="O576" s="5">
        <v>324000</v>
      </c>
      <c r="P576" s="5" t="s">
        <v>48</v>
      </c>
      <c r="Q576" s="5">
        <v>3</v>
      </c>
      <c r="R576" s="5">
        <v>16</v>
      </c>
      <c r="S576" s="5">
        <v>800</v>
      </c>
      <c r="T576" s="5" t="s">
        <v>48</v>
      </c>
      <c r="U576" s="5" t="s">
        <v>48</v>
      </c>
      <c r="V576" s="5" t="s">
        <v>48</v>
      </c>
      <c r="W576" s="5" t="s">
        <v>10</v>
      </c>
      <c r="X576" s="5">
        <v>60</v>
      </c>
      <c r="Y576" s="5" t="s">
        <v>48</v>
      </c>
      <c r="Z576" s="5" t="s">
        <v>48</v>
      </c>
      <c r="AA576" s="5" t="s">
        <v>68</v>
      </c>
      <c r="AB576" s="5"/>
      <c r="AC576" s="5"/>
      <c r="AD576" s="5"/>
      <c r="AE576" s="5" t="s">
        <v>68</v>
      </c>
      <c r="AF576" s="5"/>
      <c r="AG576" s="5"/>
      <c r="AH576" s="5" t="s">
        <v>48</v>
      </c>
      <c r="AI576" s="5"/>
      <c r="AJ576" s="5"/>
      <c r="AK576" s="5"/>
      <c r="AL576" s="5"/>
      <c r="AM576" s="5"/>
      <c r="AN576" s="5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</row>
    <row r="577" spans="1:240" ht="30" customHeight="1">
      <c r="A577" s="5">
        <v>575</v>
      </c>
      <c r="B577" s="5" t="s">
        <v>68</v>
      </c>
      <c r="C577" s="5"/>
      <c r="D577" s="5"/>
      <c r="E577" s="5">
        <v>11200</v>
      </c>
      <c r="F577" s="5">
        <v>2200</v>
      </c>
      <c r="G577" s="5">
        <v>2090</v>
      </c>
      <c r="H577" s="5" t="s">
        <v>48</v>
      </c>
      <c r="I577" s="5" t="s">
        <v>17</v>
      </c>
      <c r="J577" s="24">
        <v>213.74581223100409</v>
      </c>
      <c r="K577" s="30">
        <v>5</v>
      </c>
      <c r="L577" s="5">
        <v>1138</v>
      </c>
      <c r="M577" s="31">
        <v>10</v>
      </c>
      <c r="N577" s="5" t="s">
        <v>48</v>
      </c>
      <c r="O577" s="5">
        <v>296000</v>
      </c>
      <c r="P577" s="5" t="s">
        <v>48</v>
      </c>
      <c r="Q577" s="5">
        <v>4</v>
      </c>
      <c r="R577" s="5">
        <v>16</v>
      </c>
      <c r="S577" s="5">
        <v>800</v>
      </c>
      <c r="T577" s="5" t="s">
        <v>48</v>
      </c>
      <c r="U577" s="5" t="s">
        <v>48</v>
      </c>
      <c r="V577" s="5" t="s">
        <v>48</v>
      </c>
      <c r="W577" s="5" t="s">
        <v>10</v>
      </c>
      <c r="X577" s="5">
        <v>60</v>
      </c>
      <c r="Y577" s="5" t="s">
        <v>48</v>
      </c>
      <c r="Z577" s="5" t="s">
        <v>48</v>
      </c>
      <c r="AA577" s="5" t="s">
        <v>68</v>
      </c>
      <c r="AB577" s="5"/>
      <c r="AC577" s="5"/>
      <c r="AD577" s="5"/>
      <c r="AE577" s="5" t="s">
        <v>68</v>
      </c>
      <c r="AF577" s="5"/>
      <c r="AG577" s="5"/>
      <c r="AH577" s="5" t="s">
        <v>48</v>
      </c>
      <c r="AI577" s="5"/>
      <c r="AJ577" s="5"/>
      <c r="AK577" s="5"/>
      <c r="AL577" s="5"/>
      <c r="AM577" s="5"/>
      <c r="AN577" s="5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</row>
    <row r="578" spans="1:240" ht="30" customHeight="1">
      <c r="A578" s="5">
        <v>576</v>
      </c>
      <c r="B578" s="5" t="s">
        <v>68</v>
      </c>
      <c r="C578" s="5"/>
      <c r="D578" s="5"/>
      <c r="E578" s="5">
        <v>2270</v>
      </c>
      <c r="F578" s="5">
        <v>1850</v>
      </c>
      <c r="G578" s="5">
        <v>2150</v>
      </c>
      <c r="H578" s="5" t="s">
        <v>48</v>
      </c>
      <c r="I578" s="5" t="s">
        <v>17</v>
      </c>
      <c r="J578" s="24">
        <v>43.575596166601891</v>
      </c>
      <c r="K578" s="30">
        <v>5</v>
      </c>
      <c r="L578" s="5">
        <v>232</v>
      </c>
      <c r="M578" s="31">
        <v>10</v>
      </c>
      <c r="N578" s="5" t="s">
        <v>48</v>
      </c>
      <c r="O578" s="5">
        <v>77100</v>
      </c>
      <c r="P578" s="5" t="s">
        <v>48</v>
      </c>
      <c r="Q578" s="5">
        <v>3</v>
      </c>
      <c r="R578" s="5">
        <v>4</v>
      </c>
      <c r="S578" s="5">
        <v>800</v>
      </c>
      <c r="T578" s="5" t="s">
        <v>48</v>
      </c>
      <c r="U578" s="5" t="s">
        <v>48</v>
      </c>
      <c r="V578" s="5" t="s">
        <v>48</v>
      </c>
      <c r="W578" s="5" t="s">
        <v>10</v>
      </c>
      <c r="X578" s="5">
        <v>54</v>
      </c>
      <c r="Y578" s="5" t="s">
        <v>48</v>
      </c>
      <c r="Z578" s="5" t="s">
        <v>48</v>
      </c>
      <c r="AA578" s="5" t="s">
        <v>68</v>
      </c>
      <c r="AB578" s="5"/>
      <c r="AC578" s="5"/>
      <c r="AD578" s="5"/>
      <c r="AE578" s="5" t="s">
        <v>68</v>
      </c>
      <c r="AF578" s="5"/>
      <c r="AG578" s="5"/>
      <c r="AH578" s="5" t="s">
        <v>48</v>
      </c>
      <c r="AI578" s="5"/>
      <c r="AJ578" s="5"/>
      <c r="AK578" s="5"/>
      <c r="AL578" s="5"/>
      <c r="AM578" s="5"/>
      <c r="AN578" s="5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</row>
    <row r="579" spans="1:240" ht="30" customHeight="1">
      <c r="A579" s="5">
        <v>577</v>
      </c>
      <c r="B579" s="5" t="s">
        <v>68</v>
      </c>
      <c r="C579" s="5"/>
      <c r="D579" s="5"/>
      <c r="E579" s="5">
        <v>3240</v>
      </c>
      <c r="F579" s="5">
        <v>1850</v>
      </c>
      <c r="G579" s="5">
        <v>2150</v>
      </c>
      <c r="H579" s="5" t="s">
        <v>48</v>
      </c>
      <c r="I579" s="5" t="s">
        <v>17</v>
      </c>
      <c r="J579" s="24">
        <v>65.551220095448528</v>
      </c>
      <c r="K579" s="30">
        <v>5</v>
      </c>
      <c r="L579" s="5">
        <v>349</v>
      </c>
      <c r="M579" s="31">
        <v>10</v>
      </c>
      <c r="N579" s="5" t="s">
        <v>48</v>
      </c>
      <c r="O579" s="5">
        <v>115700</v>
      </c>
      <c r="P579" s="5" t="s">
        <v>48</v>
      </c>
      <c r="Q579" s="5">
        <v>3</v>
      </c>
      <c r="R579" s="5">
        <v>6</v>
      </c>
      <c r="S579" s="5">
        <v>800</v>
      </c>
      <c r="T579" s="5" t="s">
        <v>48</v>
      </c>
      <c r="U579" s="5" t="s">
        <v>48</v>
      </c>
      <c r="V579" s="5" t="s">
        <v>48</v>
      </c>
      <c r="W579" s="5" t="s">
        <v>10</v>
      </c>
      <c r="X579" s="5">
        <v>56</v>
      </c>
      <c r="Y579" s="5" t="s">
        <v>48</v>
      </c>
      <c r="Z579" s="5" t="s">
        <v>48</v>
      </c>
      <c r="AA579" s="5" t="s">
        <v>68</v>
      </c>
      <c r="AB579" s="5"/>
      <c r="AC579" s="5"/>
      <c r="AD579" s="5"/>
      <c r="AE579" s="5" t="s">
        <v>68</v>
      </c>
      <c r="AF579" s="5"/>
      <c r="AG579" s="5"/>
      <c r="AH579" s="5" t="s">
        <v>48</v>
      </c>
      <c r="AI579" s="5"/>
      <c r="AJ579" s="5"/>
      <c r="AK579" s="5"/>
      <c r="AL579" s="5"/>
      <c r="AM579" s="5"/>
      <c r="AN579" s="5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</row>
    <row r="580" spans="1:240" ht="30" customHeight="1">
      <c r="A580" s="5">
        <v>578</v>
      </c>
      <c r="B580" s="5" t="s">
        <v>68</v>
      </c>
      <c r="C580" s="5"/>
      <c r="D580" s="5"/>
      <c r="E580" s="5">
        <v>4120</v>
      </c>
      <c r="F580" s="5">
        <v>1850</v>
      </c>
      <c r="G580" s="5">
        <v>2150</v>
      </c>
      <c r="H580" s="5" t="s">
        <v>48</v>
      </c>
      <c r="I580" s="5" t="s">
        <v>17</v>
      </c>
      <c r="J580" s="24">
        <v>87.714669869840861</v>
      </c>
      <c r="K580" s="30">
        <v>5</v>
      </c>
      <c r="L580" s="5">
        <v>467</v>
      </c>
      <c r="M580" s="31">
        <v>10</v>
      </c>
      <c r="N580" s="5" t="s">
        <v>48</v>
      </c>
      <c r="O580" s="5">
        <v>154200</v>
      </c>
      <c r="P580" s="5" t="s">
        <v>48</v>
      </c>
      <c r="Q580" s="5">
        <v>3</v>
      </c>
      <c r="R580" s="5">
        <v>8</v>
      </c>
      <c r="S580" s="5">
        <v>800</v>
      </c>
      <c r="T580" s="5" t="s">
        <v>48</v>
      </c>
      <c r="U580" s="5" t="s">
        <v>48</v>
      </c>
      <c r="V580" s="5" t="s">
        <v>48</v>
      </c>
      <c r="W580" s="5" t="s">
        <v>10</v>
      </c>
      <c r="X580" s="5">
        <v>57</v>
      </c>
      <c r="Y580" s="5" t="s">
        <v>48</v>
      </c>
      <c r="Z580" s="5" t="s">
        <v>48</v>
      </c>
      <c r="AA580" s="5" t="s">
        <v>68</v>
      </c>
      <c r="AB580" s="5"/>
      <c r="AC580" s="5"/>
      <c r="AD580" s="5"/>
      <c r="AE580" s="5" t="s">
        <v>68</v>
      </c>
      <c r="AF580" s="5"/>
      <c r="AG580" s="5"/>
      <c r="AH580" s="5" t="s">
        <v>48</v>
      </c>
      <c r="AI580" s="5"/>
      <c r="AJ580" s="5"/>
      <c r="AK580" s="5"/>
      <c r="AL580" s="5"/>
      <c r="AM580" s="5"/>
      <c r="AN580" s="5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</row>
    <row r="581" spans="1:240" ht="30" customHeight="1">
      <c r="A581" s="5">
        <v>579</v>
      </c>
      <c r="B581" s="5" t="s">
        <v>68</v>
      </c>
      <c r="C581" s="5"/>
      <c r="D581" s="5"/>
      <c r="E581" s="5">
        <v>5180</v>
      </c>
      <c r="F581" s="5">
        <v>1850</v>
      </c>
      <c r="G581" s="5">
        <v>2150</v>
      </c>
      <c r="H581" s="5" t="s">
        <v>48</v>
      </c>
      <c r="I581" s="5" t="s">
        <v>17</v>
      </c>
      <c r="J581" s="24">
        <v>109.50246795314182</v>
      </c>
      <c r="K581" s="30">
        <v>5</v>
      </c>
      <c r="L581" s="5">
        <v>583</v>
      </c>
      <c r="M581" s="31">
        <v>10</v>
      </c>
      <c r="N581" s="5" t="s">
        <v>48</v>
      </c>
      <c r="O581" s="5">
        <v>192800</v>
      </c>
      <c r="P581" s="5" t="s">
        <v>48</v>
      </c>
      <c r="Q581" s="5">
        <v>3</v>
      </c>
      <c r="R581" s="5">
        <v>10</v>
      </c>
      <c r="S581" s="5">
        <v>800</v>
      </c>
      <c r="T581" s="5" t="s">
        <v>48</v>
      </c>
      <c r="U581" s="5" t="s">
        <v>48</v>
      </c>
      <c r="V581" s="5" t="s">
        <v>48</v>
      </c>
      <c r="W581" s="5" t="s">
        <v>10</v>
      </c>
      <c r="X581" s="5">
        <v>58</v>
      </c>
      <c r="Y581" s="5" t="s">
        <v>48</v>
      </c>
      <c r="Z581" s="5" t="s">
        <v>48</v>
      </c>
      <c r="AA581" s="5" t="s">
        <v>68</v>
      </c>
      <c r="AB581" s="5"/>
      <c r="AC581" s="5"/>
      <c r="AD581" s="5"/>
      <c r="AE581" s="5" t="s">
        <v>68</v>
      </c>
      <c r="AF581" s="5"/>
      <c r="AG581" s="5"/>
      <c r="AH581" s="5" t="s">
        <v>48</v>
      </c>
      <c r="AI581" s="5"/>
      <c r="AJ581" s="5"/>
      <c r="AK581" s="5"/>
      <c r="AL581" s="5"/>
      <c r="AM581" s="5"/>
      <c r="AN581" s="5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</row>
    <row r="582" spans="1:240" ht="30" customHeight="1">
      <c r="A582" s="5">
        <v>580</v>
      </c>
      <c r="B582" s="5" t="s">
        <v>68</v>
      </c>
      <c r="C582" s="5"/>
      <c r="D582" s="5"/>
      <c r="E582" s="5">
        <v>2270</v>
      </c>
      <c r="F582" s="5">
        <v>1850</v>
      </c>
      <c r="G582" s="5">
        <v>2150</v>
      </c>
      <c r="H582" s="5" t="s">
        <v>48</v>
      </c>
      <c r="I582" s="5" t="s">
        <v>17</v>
      </c>
      <c r="J582" s="24">
        <v>35.311258962591182</v>
      </c>
      <c r="K582" s="30">
        <v>5</v>
      </c>
      <c r="L582" s="5">
        <v>188</v>
      </c>
      <c r="M582" s="31">
        <v>10</v>
      </c>
      <c r="N582" s="5" t="s">
        <v>48</v>
      </c>
      <c r="O582" s="5">
        <v>55000</v>
      </c>
      <c r="P582" s="5" t="s">
        <v>48</v>
      </c>
      <c r="Q582" s="5">
        <v>3</v>
      </c>
      <c r="R582" s="5">
        <v>4</v>
      </c>
      <c r="S582" s="5">
        <v>800</v>
      </c>
      <c r="T582" s="5" t="s">
        <v>48</v>
      </c>
      <c r="U582" s="5" t="s">
        <v>48</v>
      </c>
      <c r="V582" s="5" t="s">
        <v>48</v>
      </c>
      <c r="W582" s="5" t="s">
        <v>10</v>
      </c>
      <c r="X582" s="5">
        <v>46</v>
      </c>
      <c r="Y582" s="5" t="s">
        <v>48</v>
      </c>
      <c r="Z582" s="5" t="s">
        <v>48</v>
      </c>
      <c r="AA582" s="5" t="s">
        <v>68</v>
      </c>
      <c r="AB582" s="5"/>
      <c r="AC582" s="5"/>
      <c r="AD582" s="5"/>
      <c r="AE582" s="5" t="s">
        <v>68</v>
      </c>
      <c r="AF582" s="5"/>
      <c r="AG582" s="5"/>
      <c r="AH582" s="5" t="s">
        <v>48</v>
      </c>
      <c r="AI582" s="5"/>
      <c r="AJ582" s="5"/>
      <c r="AK582" s="5"/>
      <c r="AL582" s="5"/>
      <c r="AM582" s="5"/>
      <c r="AN582" s="5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</row>
    <row r="583" spans="1:240" ht="30" customHeight="1">
      <c r="A583" s="5">
        <v>581</v>
      </c>
      <c r="B583" s="5" t="s">
        <v>68</v>
      </c>
      <c r="C583" s="5"/>
      <c r="D583" s="5"/>
      <c r="E583" s="5">
        <v>3240</v>
      </c>
      <c r="F583" s="5">
        <v>1850</v>
      </c>
      <c r="G583" s="5">
        <v>2150</v>
      </c>
      <c r="H583" s="5" t="s">
        <v>48</v>
      </c>
      <c r="I583" s="5" t="s">
        <v>17</v>
      </c>
      <c r="J583" s="24">
        <v>53.718191826069564</v>
      </c>
      <c r="K583" s="30">
        <v>5</v>
      </c>
      <c r="L583" s="5">
        <v>286</v>
      </c>
      <c r="M583" s="31">
        <v>10</v>
      </c>
      <c r="N583" s="5" t="s">
        <v>48</v>
      </c>
      <c r="O583" s="5">
        <v>82000</v>
      </c>
      <c r="P583" s="5" t="s">
        <v>48</v>
      </c>
      <c r="Q583" s="5">
        <v>3</v>
      </c>
      <c r="R583" s="5">
        <v>6</v>
      </c>
      <c r="S583" s="5">
        <v>800</v>
      </c>
      <c r="T583" s="5" t="s">
        <v>48</v>
      </c>
      <c r="U583" s="5" t="s">
        <v>48</v>
      </c>
      <c r="V583" s="5" t="s">
        <v>48</v>
      </c>
      <c r="W583" s="5" t="s">
        <v>10</v>
      </c>
      <c r="X583" s="5">
        <v>48</v>
      </c>
      <c r="Y583" s="5" t="s">
        <v>48</v>
      </c>
      <c r="Z583" s="5" t="s">
        <v>48</v>
      </c>
      <c r="AA583" s="5" t="s">
        <v>68</v>
      </c>
      <c r="AB583" s="5"/>
      <c r="AC583" s="5"/>
      <c r="AD583" s="5"/>
      <c r="AE583" s="5" t="s">
        <v>68</v>
      </c>
      <c r="AF583" s="5"/>
      <c r="AG583" s="5"/>
      <c r="AH583" s="5" t="s">
        <v>48</v>
      </c>
      <c r="AI583" s="5"/>
      <c r="AJ583" s="5"/>
      <c r="AK583" s="5"/>
      <c r="AL583" s="5"/>
      <c r="AM583" s="5"/>
      <c r="AN583" s="5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</row>
    <row r="584" spans="1:240" ht="30" customHeight="1">
      <c r="A584" s="5">
        <v>582</v>
      </c>
      <c r="B584" s="5" t="s">
        <v>68</v>
      </c>
      <c r="C584" s="5"/>
      <c r="D584" s="5"/>
      <c r="E584" s="5">
        <v>4210</v>
      </c>
      <c r="F584" s="5">
        <v>1850</v>
      </c>
      <c r="G584" s="5">
        <v>2150</v>
      </c>
      <c r="H584" s="5" t="s">
        <v>48</v>
      </c>
      <c r="I584" s="5" t="s">
        <v>17</v>
      </c>
      <c r="J584" s="24">
        <v>72.125124689547945</v>
      </c>
      <c r="K584" s="30">
        <v>5</v>
      </c>
      <c r="L584" s="5">
        <v>384</v>
      </c>
      <c r="M584" s="31">
        <v>10</v>
      </c>
      <c r="N584" s="5" t="s">
        <v>48</v>
      </c>
      <c r="O584" s="5">
        <v>110000</v>
      </c>
      <c r="P584" s="5" t="s">
        <v>48</v>
      </c>
      <c r="Q584" s="5">
        <v>3</v>
      </c>
      <c r="R584" s="5">
        <v>8</v>
      </c>
      <c r="S584" s="5">
        <v>800</v>
      </c>
      <c r="T584" s="5" t="s">
        <v>48</v>
      </c>
      <c r="U584" s="5" t="s">
        <v>48</v>
      </c>
      <c r="V584" s="5" t="s">
        <v>48</v>
      </c>
      <c r="W584" s="5" t="s">
        <v>10</v>
      </c>
      <c r="X584" s="5">
        <v>49</v>
      </c>
      <c r="Y584" s="5" t="s">
        <v>48</v>
      </c>
      <c r="Z584" s="5" t="s">
        <v>48</v>
      </c>
      <c r="AA584" s="5" t="s">
        <v>68</v>
      </c>
      <c r="AB584" s="5"/>
      <c r="AC584" s="5"/>
      <c r="AD584" s="5"/>
      <c r="AE584" s="5" t="s">
        <v>68</v>
      </c>
      <c r="AF584" s="5"/>
      <c r="AG584" s="5"/>
      <c r="AH584" s="5" t="s">
        <v>48</v>
      </c>
      <c r="AI584" s="5"/>
      <c r="AJ584" s="5"/>
      <c r="AK584" s="5"/>
      <c r="AL584" s="5"/>
      <c r="AM584" s="5"/>
      <c r="AN584" s="5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</row>
    <row r="585" spans="1:240" ht="30" customHeight="1">
      <c r="A585" s="5">
        <v>583</v>
      </c>
      <c r="B585" s="5" t="s">
        <v>68</v>
      </c>
      <c r="C585" s="5"/>
      <c r="D585" s="5"/>
      <c r="E585" s="5">
        <v>5180</v>
      </c>
      <c r="F585" s="5">
        <v>1850</v>
      </c>
      <c r="G585" s="5">
        <v>2150</v>
      </c>
      <c r="H585" s="5" t="s">
        <v>48</v>
      </c>
      <c r="I585" s="5" t="s">
        <v>17</v>
      </c>
      <c r="J585" s="24">
        <v>89.405102479752159</v>
      </c>
      <c r="K585" s="30">
        <v>5</v>
      </c>
      <c r="L585" s="5">
        <v>476</v>
      </c>
      <c r="M585" s="31">
        <v>10</v>
      </c>
      <c r="N585" s="5" t="s">
        <v>48</v>
      </c>
      <c r="O585" s="5">
        <v>136000</v>
      </c>
      <c r="P585" s="5" t="s">
        <v>48</v>
      </c>
      <c r="Q585" s="5">
        <v>3</v>
      </c>
      <c r="R585" s="5">
        <v>10</v>
      </c>
      <c r="S585" s="5">
        <v>800</v>
      </c>
      <c r="T585" s="5" t="s">
        <v>48</v>
      </c>
      <c r="U585" s="5" t="s">
        <v>48</v>
      </c>
      <c r="V585" s="5" t="s">
        <v>48</v>
      </c>
      <c r="W585" s="5" t="s">
        <v>10</v>
      </c>
      <c r="X585" s="5">
        <v>50</v>
      </c>
      <c r="Y585" s="5" t="s">
        <v>48</v>
      </c>
      <c r="Z585" s="5" t="s">
        <v>48</v>
      </c>
      <c r="AA585" s="5" t="s">
        <v>68</v>
      </c>
      <c r="AB585" s="5"/>
      <c r="AC585" s="5"/>
      <c r="AD585" s="5"/>
      <c r="AE585" s="5" t="s">
        <v>68</v>
      </c>
      <c r="AF585" s="5"/>
      <c r="AG585" s="5"/>
      <c r="AH585" s="5" t="s">
        <v>48</v>
      </c>
      <c r="AI585" s="5"/>
      <c r="AJ585" s="5"/>
      <c r="AK585" s="5"/>
      <c r="AL585" s="5"/>
      <c r="AM585" s="5"/>
      <c r="AN585" s="5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</row>
    <row r="586" spans="1:240" ht="30" customHeight="1">
      <c r="A586" s="5">
        <v>584</v>
      </c>
      <c r="B586" s="5" t="s">
        <v>68</v>
      </c>
      <c r="C586" s="5"/>
      <c r="D586" s="5"/>
      <c r="E586" s="5">
        <v>2270</v>
      </c>
      <c r="F586" s="5">
        <v>1850</v>
      </c>
      <c r="G586" s="5">
        <v>2150</v>
      </c>
      <c r="H586" s="5" t="s">
        <v>48</v>
      </c>
      <c r="I586" s="5" t="s">
        <v>17</v>
      </c>
      <c r="J586" s="24">
        <v>25.732140839760596</v>
      </c>
      <c r="K586" s="30">
        <v>5</v>
      </c>
      <c r="L586" s="5">
        <v>137</v>
      </c>
      <c r="M586" s="31">
        <v>10</v>
      </c>
      <c r="N586" s="5" t="s">
        <v>48</v>
      </c>
      <c r="O586" s="5">
        <v>33350</v>
      </c>
      <c r="P586" s="5" t="s">
        <v>48</v>
      </c>
      <c r="Q586" s="5">
        <v>3</v>
      </c>
      <c r="R586" s="5">
        <v>4</v>
      </c>
      <c r="S586" s="5">
        <v>800</v>
      </c>
      <c r="T586" s="5" t="s">
        <v>48</v>
      </c>
      <c r="U586" s="5" t="s">
        <v>48</v>
      </c>
      <c r="V586" s="5" t="s">
        <v>48</v>
      </c>
      <c r="W586" s="5" t="s">
        <v>10</v>
      </c>
      <c r="X586" s="5">
        <v>36</v>
      </c>
      <c r="Y586" s="5" t="s">
        <v>48</v>
      </c>
      <c r="Z586" s="5" t="s">
        <v>48</v>
      </c>
      <c r="AA586" s="5" t="s">
        <v>68</v>
      </c>
      <c r="AB586" s="5"/>
      <c r="AC586" s="5"/>
      <c r="AD586" s="5"/>
      <c r="AE586" s="5" t="s">
        <v>68</v>
      </c>
      <c r="AF586" s="5"/>
      <c r="AG586" s="5"/>
      <c r="AH586" s="5" t="s">
        <v>48</v>
      </c>
      <c r="AI586" s="5"/>
      <c r="AJ586" s="5"/>
      <c r="AK586" s="5"/>
      <c r="AL586" s="5"/>
      <c r="AM586" s="5"/>
      <c r="AN586" s="5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</row>
    <row r="587" spans="1:240" ht="30" customHeight="1">
      <c r="A587" s="5">
        <v>585</v>
      </c>
      <c r="B587" s="5" t="s">
        <v>68</v>
      </c>
      <c r="C587" s="5"/>
      <c r="D587" s="5"/>
      <c r="E587" s="5">
        <v>3240</v>
      </c>
      <c r="F587" s="5">
        <v>1850</v>
      </c>
      <c r="G587" s="5">
        <v>2150</v>
      </c>
      <c r="H587" s="5" t="s">
        <v>48</v>
      </c>
      <c r="I587" s="5" t="s">
        <v>17</v>
      </c>
      <c r="J587" s="24">
        <v>38.692124182413743</v>
      </c>
      <c r="K587" s="30">
        <v>5</v>
      </c>
      <c r="L587" s="5">
        <v>206</v>
      </c>
      <c r="M587" s="31">
        <v>10</v>
      </c>
      <c r="N587" s="5" t="s">
        <v>48</v>
      </c>
      <c r="O587" s="5">
        <v>49900</v>
      </c>
      <c r="P587" s="5" t="s">
        <v>48</v>
      </c>
      <c r="Q587" s="5">
        <v>3</v>
      </c>
      <c r="R587" s="5">
        <v>6</v>
      </c>
      <c r="S587" s="5">
        <v>800</v>
      </c>
      <c r="T587" s="5" t="s">
        <v>48</v>
      </c>
      <c r="U587" s="5" t="s">
        <v>48</v>
      </c>
      <c r="V587" s="5" t="s">
        <v>48</v>
      </c>
      <c r="W587" s="5" t="s">
        <v>10</v>
      </c>
      <c r="X587" s="5">
        <v>38</v>
      </c>
      <c r="Y587" s="5" t="s">
        <v>48</v>
      </c>
      <c r="Z587" s="5" t="s">
        <v>48</v>
      </c>
      <c r="AA587" s="5" t="s">
        <v>68</v>
      </c>
      <c r="AB587" s="5"/>
      <c r="AC587" s="5"/>
      <c r="AD587" s="5"/>
      <c r="AE587" s="5" t="s">
        <v>68</v>
      </c>
      <c r="AF587" s="5"/>
      <c r="AG587" s="5"/>
      <c r="AH587" s="5" t="s">
        <v>48</v>
      </c>
      <c r="AI587" s="5"/>
      <c r="AJ587" s="5"/>
      <c r="AK587" s="5"/>
      <c r="AL587" s="5"/>
      <c r="AM587" s="5"/>
      <c r="AN587" s="5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</row>
    <row r="588" spans="1:240" ht="30" customHeight="1">
      <c r="A588" s="5">
        <v>586</v>
      </c>
      <c r="B588" s="5" t="s">
        <v>68</v>
      </c>
      <c r="C588" s="5"/>
      <c r="D588" s="5"/>
      <c r="E588" s="5">
        <v>4210</v>
      </c>
      <c r="F588" s="5">
        <v>1850</v>
      </c>
      <c r="G588" s="5">
        <v>2150</v>
      </c>
      <c r="H588" s="5" t="s">
        <v>48</v>
      </c>
      <c r="I588" s="5" t="s">
        <v>17</v>
      </c>
      <c r="J588" s="24">
        <v>51.464281679521193</v>
      </c>
      <c r="K588" s="30">
        <v>5</v>
      </c>
      <c r="L588" s="5">
        <v>274</v>
      </c>
      <c r="M588" s="31">
        <v>10</v>
      </c>
      <c r="N588" s="5" t="s">
        <v>48</v>
      </c>
      <c r="O588" s="5">
        <v>66600</v>
      </c>
      <c r="P588" s="5" t="s">
        <v>48</v>
      </c>
      <c r="Q588" s="5">
        <v>3</v>
      </c>
      <c r="R588" s="5">
        <v>8</v>
      </c>
      <c r="S588" s="5">
        <v>800</v>
      </c>
      <c r="T588" s="5" t="s">
        <v>48</v>
      </c>
      <c r="U588" s="5" t="s">
        <v>48</v>
      </c>
      <c r="V588" s="5" t="s">
        <v>48</v>
      </c>
      <c r="W588" s="5" t="s">
        <v>10</v>
      </c>
      <c r="X588" s="5">
        <v>39</v>
      </c>
      <c r="Y588" s="5" t="s">
        <v>48</v>
      </c>
      <c r="Z588" s="5" t="s">
        <v>48</v>
      </c>
      <c r="AA588" s="5" t="s">
        <v>68</v>
      </c>
      <c r="AB588" s="5"/>
      <c r="AC588" s="5"/>
      <c r="AD588" s="5"/>
      <c r="AE588" s="5" t="s">
        <v>68</v>
      </c>
      <c r="AF588" s="5"/>
      <c r="AG588" s="5"/>
      <c r="AH588" s="5" t="s">
        <v>48</v>
      </c>
      <c r="AI588" s="5"/>
      <c r="AJ588" s="5"/>
      <c r="AK588" s="5"/>
      <c r="AL588" s="5"/>
      <c r="AM588" s="5"/>
      <c r="AN588" s="5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</row>
    <row r="589" spans="1:240" ht="30" customHeight="1">
      <c r="A589" s="5">
        <v>587</v>
      </c>
      <c r="B589" s="5" t="s">
        <v>68</v>
      </c>
      <c r="C589" s="5"/>
      <c r="D589" s="5"/>
      <c r="E589" s="5">
        <v>5180</v>
      </c>
      <c r="F589" s="5">
        <v>1850</v>
      </c>
      <c r="G589" s="5">
        <v>2150</v>
      </c>
      <c r="H589" s="5" t="s">
        <v>48</v>
      </c>
      <c r="I589" s="5" t="s">
        <v>17</v>
      </c>
      <c r="J589" s="24">
        <v>64.424265022174339</v>
      </c>
      <c r="K589" s="30">
        <v>5</v>
      </c>
      <c r="L589" s="5">
        <v>343</v>
      </c>
      <c r="M589" s="31">
        <v>10</v>
      </c>
      <c r="N589" s="5" t="s">
        <v>48</v>
      </c>
      <c r="O589" s="5">
        <v>83250</v>
      </c>
      <c r="P589" s="5" t="s">
        <v>48</v>
      </c>
      <c r="Q589" s="5">
        <v>3</v>
      </c>
      <c r="R589" s="5">
        <v>10</v>
      </c>
      <c r="S589" s="5">
        <v>800</v>
      </c>
      <c r="T589" s="5" t="s">
        <v>48</v>
      </c>
      <c r="U589" s="5" t="s">
        <v>48</v>
      </c>
      <c r="V589" s="5" t="s">
        <v>48</v>
      </c>
      <c r="W589" s="5" t="s">
        <v>10</v>
      </c>
      <c r="X589" s="5">
        <v>40</v>
      </c>
      <c r="Y589" s="5" t="s">
        <v>48</v>
      </c>
      <c r="Z589" s="5" t="s">
        <v>48</v>
      </c>
      <c r="AA589" s="5" t="s">
        <v>68</v>
      </c>
      <c r="AB589" s="5"/>
      <c r="AC589" s="5"/>
      <c r="AD589" s="5"/>
      <c r="AE589" s="5" t="s">
        <v>68</v>
      </c>
      <c r="AF589" s="5"/>
      <c r="AG589" s="5"/>
      <c r="AH589" s="5" t="s">
        <v>48</v>
      </c>
      <c r="AI589" s="5"/>
      <c r="AJ589" s="5"/>
      <c r="AK589" s="5"/>
      <c r="AL589" s="5"/>
      <c r="AM589" s="5"/>
      <c r="AN589" s="5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</row>
    <row r="590" spans="1:240" ht="30" customHeight="1">
      <c r="A590" s="5">
        <v>588</v>
      </c>
      <c r="B590" s="5" t="s">
        <v>68</v>
      </c>
      <c r="C590" s="5"/>
      <c r="D590" s="5"/>
      <c r="E590" s="5">
        <v>2020</v>
      </c>
      <c r="F590" s="5">
        <v>1350</v>
      </c>
      <c r="G590" s="5">
        <v>1770</v>
      </c>
      <c r="H590" s="5">
        <v>525</v>
      </c>
      <c r="I590" s="5" t="s">
        <v>13</v>
      </c>
      <c r="J590" s="5" t="s">
        <v>48</v>
      </c>
      <c r="K590" s="17" t="s">
        <v>48</v>
      </c>
      <c r="L590" s="5">
        <v>116.2</v>
      </c>
      <c r="M590" s="5" t="s">
        <v>48</v>
      </c>
      <c r="N590" s="5" t="s">
        <v>48</v>
      </c>
      <c r="O590" s="5">
        <v>23876</v>
      </c>
      <c r="P590" s="5"/>
      <c r="Q590" s="5"/>
      <c r="R590" s="5">
        <v>2</v>
      </c>
      <c r="S590" s="5">
        <v>500</v>
      </c>
      <c r="T590" s="5" t="s">
        <v>48</v>
      </c>
      <c r="U590" s="5">
        <v>451</v>
      </c>
      <c r="V590" s="5">
        <v>2.2000000000000002</v>
      </c>
      <c r="W590" s="5" t="s">
        <v>50</v>
      </c>
      <c r="X590" s="5">
        <v>48</v>
      </c>
      <c r="Y590" s="5">
        <v>348</v>
      </c>
      <c r="Z590" s="5">
        <v>40.1</v>
      </c>
      <c r="AA590" s="5" t="s">
        <v>68</v>
      </c>
      <c r="AB590" s="5"/>
      <c r="AC590" s="5"/>
      <c r="AD590" s="5"/>
      <c r="AE590" s="5"/>
      <c r="AF590" s="5" t="s">
        <v>68</v>
      </c>
      <c r="AG590" s="5"/>
      <c r="AH590" s="5"/>
      <c r="AI590" s="5"/>
      <c r="AJ590" s="5"/>
      <c r="AK590" s="5"/>
      <c r="AL590" s="5"/>
      <c r="AM590" s="5"/>
      <c r="AN590" s="5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</row>
    <row r="591" spans="1:240" ht="30" customHeight="1">
      <c r="A591" s="5">
        <v>589</v>
      </c>
      <c r="B591" s="5" t="s">
        <v>68</v>
      </c>
      <c r="C591" s="5"/>
      <c r="D591" s="5"/>
      <c r="E591" s="5">
        <v>2020</v>
      </c>
      <c r="F591" s="5">
        <v>1350</v>
      </c>
      <c r="G591" s="5">
        <v>1770</v>
      </c>
      <c r="H591" s="5">
        <v>525</v>
      </c>
      <c r="I591" s="5" t="s">
        <v>13</v>
      </c>
      <c r="J591" s="5" t="s">
        <v>48</v>
      </c>
      <c r="K591" s="17" t="s">
        <v>48</v>
      </c>
      <c r="L591" s="5">
        <v>109.73</v>
      </c>
      <c r="M591" s="5" t="s">
        <v>48</v>
      </c>
      <c r="N591" s="5" t="s">
        <v>48</v>
      </c>
      <c r="O591" s="5">
        <v>21564</v>
      </c>
      <c r="P591" s="5"/>
      <c r="Q591" s="5"/>
      <c r="R591" s="5">
        <v>2</v>
      </c>
      <c r="S591" s="5">
        <v>500</v>
      </c>
      <c r="T591" s="5"/>
      <c r="U591" s="5">
        <v>473</v>
      </c>
      <c r="V591" s="5">
        <v>2.2000000000000002</v>
      </c>
      <c r="W591" s="5" t="s">
        <v>50</v>
      </c>
      <c r="X591" s="5">
        <v>48</v>
      </c>
      <c r="Y591" s="5">
        <v>348</v>
      </c>
      <c r="Z591" s="5">
        <v>40.1</v>
      </c>
      <c r="AA591" s="5" t="s">
        <v>68</v>
      </c>
      <c r="AB591" s="5"/>
      <c r="AC591" s="5"/>
      <c r="AD591" s="5"/>
      <c r="AE591" s="5"/>
      <c r="AF591" s="5" t="s">
        <v>68</v>
      </c>
      <c r="AG591" s="5"/>
      <c r="AH591" s="5"/>
      <c r="AI591" s="5"/>
      <c r="AJ591" s="5"/>
      <c r="AK591" s="5"/>
      <c r="AL591" s="5"/>
      <c r="AM591" s="5"/>
      <c r="AN591" s="5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</row>
    <row r="592" spans="1:240" ht="30" customHeight="1">
      <c r="A592" s="5">
        <v>590</v>
      </c>
      <c r="B592" s="5" t="s">
        <v>68</v>
      </c>
      <c r="C592" s="5"/>
      <c r="D592" s="5"/>
      <c r="E592" s="5">
        <v>2020</v>
      </c>
      <c r="F592" s="5">
        <v>1350</v>
      </c>
      <c r="G592" s="5">
        <v>1770</v>
      </c>
      <c r="H592" s="5">
        <v>525</v>
      </c>
      <c r="I592" s="5" t="s">
        <v>13</v>
      </c>
      <c r="J592" s="5" t="s">
        <v>48</v>
      </c>
      <c r="K592" s="17" t="s">
        <v>48</v>
      </c>
      <c r="L592" s="5">
        <v>103.91</v>
      </c>
      <c r="M592" s="5" t="s">
        <v>48</v>
      </c>
      <c r="N592" s="5" t="s">
        <v>48</v>
      </c>
      <c r="O592" s="5">
        <v>20460</v>
      </c>
      <c r="P592" s="5"/>
      <c r="Q592" s="5"/>
      <c r="R592" s="5">
        <v>2</v>
      </c>
      <c r="S592" s="5">
        <v>500</v>
      </c>
      <c r="T592" s="5"/>
      <c r="U592" s="5">
        <v>527</v>
      </c>
      <c r="V592" s="5">
        <v>2.2000000000000002</v>
      </c>
      <c r="W592" s="5" t="s">
        <v>50</v>
      </c>
      <c r="X592" s="5">
        <v>50</v>
      </c>
      <c r="Y592" s="5">
        <v>348</v>
      </c>
      <c r="Z592" s="5">
        <v>40.1</v>
      </c>
      <c r="AA592" s="5" t="s">
        <v>68</v>
      </c>
      <c r="AB592" s="5"/>
      <c r="AC592" s="5"/>
      <c r="AD592" s="5"/>
      <c r="AE592" s="5"/>
      <c r="AF592" s="5" t="s">
        <v>68</v>
      </c>
      <c r="AG592" s="5"/>
      <c r="AH592" s="5"/>
      <c r="AI592" s="5"/>
      <c r="AJ592" s="5"/>
      <c r="AK592" s="5"/>
      <c r="AL592" s="5"/>
      <c r="AM592" s="5"/>
      <c r="AN592" s="5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</row>
    <row r="593" spans="1:240" ht="30" customHeight="1">
      <c r="A593" s="5">
        <v>591</v>
      </c>
      <c r="B593" s="5" t="s">
        <v>68</v>
      </c>
      <c r="C593" s="5"/>
      <c r="D593" s="5"/>
      <c r="E593" s="5">
        <v>2020</v>
      </c>
      <c r="F593" s="5">
        <v>1350</v>
      </c>
      <c r="G593" s="5">
        <v>1770</v>
      </c>
      <c r="H593" s="5">
        <v>525</v>
      </c>
      <c r="I593" s="5" t="s">
        <v>13</v>
      </c>
      <c r="J593" s="5" t="s">
        <v>48</v>
      </c>
      <c r="K593" s="17" t="s">
        <v>48</v>
      </c>
      <c r="L593" s="5">
        <v>96.27</v>
      </c>
      <c r="M593" s="5" t="s">
        <v>48</v>
      </c>
      <c r="N593" s="5" t="s">
        <v>48</v>
      </c>
      <c r="O593" s="5">
        <v>18988</v>
      </c>
      <c r="P593" s="5"/>
      <c r="Q593" s="5"/>
      <c r="R593" s="5">
        <v>2</v>
      </c>
      <c r="S593" s="5">
        <v>500</v>
      </c>
      <c r="T593" s="5"/>
      <c r="U593" s="5">
        <v>575</v>
      </c>
      <c r="V593" s="5">
        <v>2.2000000000000002</v>
      </c>
      <c r="W593" s="5" t="s">
        <v>50</v>
      </c>
      <c r="X593" s="5">
        <v>51</v>
      </c>
      <c r="Y593" s="5">
        <v>348</v>
      </c>
      <c r="Z593" s="5">
        <v>40.1</v>
      </c>
      <c r="AA593" s="5" t="s">
        <v>68</v>
      </c>
      <c r="AB593" s="5"/>
      <c r="AC593" s="5"/>
      <c r="AD593" s="5"/>
      <c r="AE593" s="5"/>
      <c r="AF593" s="5" t="s">
        <v>68</v>
      </c>
      <c r="AG593" s="5"/>
      <c r="AH593" s="5"/>
      <c r="AI593" s="5"/>
      <c r="AJ593" s="5"/>
      <c r="AK593" s="5"/>
      <c r="AL593" s="5"/>
      <c r="AM593" s="5"/>
      <c r="AN593" s="5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</row>
    <row r="594" spans="1:240" ht="30" customHeight="1">
      <c r="A594" s="5">
        <v>592</v>
      </c>
      <c r="B594" s="5" t="s">
        <v>68</v>
      </c>
      <c r="C594" s="5"/>
      <c r="D594" s="5"/>
      <c r="E594" s="5">
        <v>2020</v>
      </c>
      <c r="F594" s="5">
        <v>1350</v>
      </c>
      <c r="G594" s="5">
        <v>1770</v>
      </c>
      <c r="H594" s="5">
        <v>525</v>
      </c>
      <c r="I594" s="5" t="s">
        <v>13</v>
      </c>
      <c r="J594" s="5" t="s">
        <v>48</v>
      </c>
      <c r="K594" s="17" t="s">
        <v>48</v>
      </c>
      <c r="L594" s="5">
        <v>88.37</v>
      </c>
      <c r="M594" s="5" t="s">
        <v>48</v>
      </c>
      <c r="N594" s="5" t="s">
        <v>48</v>
      </c>
      <c r="O594" s="5">
        <v>16488</v>
      </c>
      <c r="P594" s="5"/>
      <c r="Q594" s="5"/>
      <c r="R594" s="5">
        <v>2</v>
      </c>
      <c r="S594" s="5">
        <v>500</v>
      </c>
      <c r="T594" s="5"/>
      <c r="U594" s="5">
        <v>591</v>
      </c>
      <c r="V594" s="5">
        <v>2.2000000000000002</v>
      </c>
      <c r="W594" s="5" t="s">
        <v>50</v>
      </c>
      <c r="X594" s="5">
        <v>53</v>
      </c>
      <c r="Y594" s="5">
        <v>348</v>
      </c>
      <c r="Z594" s="5">
        <v>40.1</v>
      </c>
      <c r="AA594" s="5" t="s">
        <v>68</v>
      </c>
      <c r="AB594" s="5"/>
      <c r="AC594" s="5"/>
      <c r="AD594" s="5"/>
      <c r="AE594" s="5"/>
      <c r="AF594" s="5" t="s">
        <v>68</v>
      </c>
      <c r="AG594" s="5"/>
      <c r="AH594" s="5"/>
      <c r="AI594" s="5"/>
      <c r="AJ594" s="5"/>
      <c r="AK594" s="5"/>
      <c r="AL594" s="5"/>
      <c r="AM594" s="5"/>
      <c r="AN594" s="5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</row>
    <row r="595" spans="1:240" ht="30" customHeight="1">
      <c r="A595" s="5">
        <v>593</v>
      </c>
      <c r="B595" s="5" t="s">
        <v>68</v>
      </c>
      <c r="C595" s="5"/>
      <c r="D595" s="5"/>
      <c r="E595" s="5">
        <v>2020</v>
      </c>
      <c r="F595" s="5">
        <v>1350</v>
      </c>
      <c r="G595" s="5">
        <v>1770</v>
      </c>
      <c r="H595" s="5">
        <v>525</v>
      </c>
      <c r="I595" s="5" t="s">
        <v>13</v>
      </c>
      <c r="J595" s="5" t="s">
        <v>48</v>
      </c>
      <c r="K595" s="17" t="s">
        <v>48</v>
      </c>
      <c r="L595" s="5">
        <v>137.83000000000001</v>
      </c>
      <c r="M595" s="5" t="s">
        <v>48</v>
      </c>
      <c r="N595" s="5" t="s">
        <v>48</v>
      </c>
      <c r="O595" s="5">
        <v>29392</v>
      </c>
      <c r="P595" s="5"/>
      <c r="Q595" s="5"/>
      <c r="R595" s="5">
        <v>2</v>
      </c>
      <c r="S595" s="5">
        <v>500</v>
      </c>
      <c r="T595" s="5"/>
      <c r="U595" s="5">
        <v>545</v>
      </c>
      <c r="V595" s="5">
        <v>4.4000000000000004</v>
      </c>
      <c r="W595" s="5" t="s">
        <v>50</v>
      </c>
      <c r="X595" s="5">
        <v>51</v>
      </c>
      <c r="Y595" s="5">
        <v>348</v>
      </c>
      <c r="Z595" s="5">
        <v>40.1</v>
      </c>
      <c r="AA595" s="5" t="s">
        <v>68</v>
      </c>
      <c r="AB595" s="5"/>
      <c r="AC595" s="5"/>
      <c r="AD595" s="5"/>
      <c r="AE595" s="5"/>
      <c r="AF595" s="5" t="s">
        <v>68</v>
      </c>
      <c r="AG595" s="5"/>
      <c r="AH595" s="5"/>
      <c r="AI595" s="5"/>
      <c r="AJ595" s="5"/>
      <c r="AK595" s="5"/>
      <c r="AL595" s="5"/>
      <c r="AM595" s="5"/>
      <c r="AN595" s="5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</row>
    <row r="596" spans="1:240" ht="30" customHeight="1">
      <c r="A596" s="5">
        <v>594</v>
      </c>
      <c r="B596" s="5" t="s">
        <v>68</v>
      </c>
      <c r="C596" s="5"/>
      <c r="D596" s="5"/>
      <c r="E596" s="5">
        <v>2020</v>
      </c>
      <c r="F596" s="5">
        <v>1350</v>
      </c>
      <c r="G596" s="5">
        <v>1770</v>
      </c>
      <c r="H596" s="5">
        <v>525</v>
      </c>
      <c r="I596" s="5" t="s">
        <v>13</v>
      </c>
      <c r="J596" s="5" t="s">
        <v>48</v>
      </c>
      <c r="K596" s="17" t="s">
        <v>48</v>
      </c>
      <c r="L596" s="5">
        <v>132.88999999999999</v>
      </c>
      <c r="M596" s="5" t="s">
        <v>48</v>
      </c>
      <c r="N596" s="5" t="s">
        <v>48</v>
      </c>
      <c r="O596" s="5">
        <v>28200</v>
      </c>
      <c r="P596" s="5"/>
      <c r="Q596" s="5"/>
      <c r="R596" s="5">
        <v>2</v>
      </c>
      <c r="S596" s="5">
        <v>500</v>
      </c>
      <c r="T596" s="5"/>
      <c r="U596" s="5">
        <v>568</v>
      </c>
      <c r="V596" s="5">
        <v>4.4000000000000004</v>
      </c>
      <c r="W596" s="5" t="s">
        <v>50</v>
      </c>
      <c r="X596" s="5">
        <v>53</v>
      </c>
      <c r="Y596" s="5">
        <v>348</v>
      </c>
      <c r="Z596" s="5">
        <v>40.1</v>
      </c>
      <c r="AA596" s="5" t="s">
        <v>68</v>
      </c>
      <c r="AB596" s="5"/>
      <c r="AC596" s="5"/>
      <c r="AD596" s="5"/>
      <c r="AE596" s="5"/>
      <c r="AF596" s="5" t="s">
        <v>68</v>
      </c>
      <c r="AG596" s="5"/>
      <c r="AH596" s="5"/>
      <c r="AI596" s="5"/>
      <c r="AJ596" s="5"/>
      <c r="AK596" s="5"/>
      <c r="AL596" s="5"/>
      <c r="AM596" s="5"/>
      <c r="AN596" s="5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</row>
    <row r="597" spans="1:240" ht="30" customHeight="1">
      <c r="A597" s="5">
        <v>595</v>
      </c>
      <c r="B597" s="5" t="s">
        <v>68</v>
      </c>
      <c r="C597" s="5"/>
      <c r="D597" s="5"/>
      <c r="E597" s="5">
        <v>2020</v>
      </c>
      <c r="F597" s="5">
        <v>1350</v>
      </c>
      <c r="G597" s="5">
        <v>1770</v>
      </c>
      <c r="H597" s="5">
        <v>525</v>
      </c>
      <c r="I597" s="5" t="s">
        <v>13</v>
      </c>
      <c r="J597" s="5" t="s">
        <v>48</v>
      </c>
      <c r="K597" s="17" t="s">
        <v>48</v>
      </c>
      <c r="L597" s="5">
        <v>128.49</v>
      </c>
      <c r="M597" s="5" t="s">
        <v>48</v>
      </c>
      <c r="N597" s="5" t="s">
        <v>48</v>
      </c>
      <c r="O597" s="5">
        <v>25584</v>
      </c>
      <c r="P597" s="5"/>
      <c r="Q597" s="5"/>
      <c r="R597" s="5">
        <v>2</v>
      </c>
      <c r="S597" s="5">
        <v>500</v>
      </c>
      <c r="T597" s="5"/>
      <c r="U597" s="5">
        <v>580</v>
      </c>
      <c r="V597" s="5">
        <v>4.4000000000000004</v>
      </c>
      <c r="W597" s="5" t="s">
        <v>50</v>
      </c>
      <c r="X597" s="5">
        <v>53</v>
      </c>
      <c r="Y597" s="5">
        <v>348</v>
      </c>
      <c r="Z597" s="5">
        <v>40.1</v>
      </c>
      <c r="AA597" s="5" t="s">
        <v>68</v>
      </c>
      <c r="AB597" s="5"/>
      <c r="AC597" s="5"/>
      <c r="AD597" s="5"/>
      <c r="AE597" s="5"/>
      <c r="AF597" s="5" t="s">
        <v>68</v>
      </c>
      <c r="AG597" s="5"/>
      <c r="AH597" s="5"/>
      <c r="AI597" s="5"/>
      <c r="AJ597" s="5"/>
      <c r="AK597" s="5"/>
      <c r="AL597" s="5"/>
      <c r="AM597" s="5"/>
      <c r="AN597" s="5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</row>
    <row r="598" spans="1:240" ht="30" customHeight="1">
      <c r="A598" s="5">
        <v>596</v>
      </c>
      <c r="B598" s="5" t="s">
        <v>68</v>
      </c>
      <c r="C598" s="5"/>
      <c r="D598" s="5"/>
      <c r="E598" s="5">
        <v>2020</v>
      </c>
      <c r="F598" s="5">
        <v>1350</v>
      </c>
      <c r="G598" s="5">
        <v>1770</v>
      </c>
      <c r="H598" s="5">
        <v>525</v>
      </c>
      <c r="I598" s="5" t="s">
        <v>13</v>
      </c>
      <c r="J598" s="5" t="s">
        <v>48</v>
      </c>
      <c r="K598" s="17" t="s">
        <v>48</v>
      </c>
      <c r="L598" s="5">
        <v>123.84</v>
      </c>
      <c r="M598" s="5" t="s">
        <v>48</v>
      </c>
      <c r="N598" s="5" t="s">
        <v>48</v>
      </c>
      <c r="O598" s="5">
        <v>25640</v>
      </c>
      <c r="P598" s="5"/>
      <c r="Q598" s="5"/>
      <c r="R598" s="5">
        <v>2</v>
      </c>
      <c r="S598" s="5">
        <v>500</v>
      </c>
      <c r="T598" s="5"/>
      <c r="U598" s="5">
        <v>614</v>
      </c>
      <c r="V598" s="5">
        <v>4.4000000000000004</v>
      </c>
      <c r="W598" s="5" t="s">
        <v>50</v>
      </c>
      <c r="X598" s="5">
        <v>53</v>
      </c>
      <c r="Y598" s="5">
        <v>348</v>
      </c>
      <c r="Z598" s="5">
        <v>40.1</v>
      </c>
      <c r="AA598" s="5" t="s">
        <v>68</v>
      </c>
      <c r="AB598" s="5"/>
      <c r="AC598" s="5"/>
      <c r="AD598" s="5"/>
      <c r="AE598" s="5"/>
      <c r="AF598" s="5" t="s">
        <v>68</v>
      </c>
      <c r="AG598" s="5"/>
      <c r="AH598" s="5"/>
      <c r="AI598" s="5"/>
      <c r="AJ598" s="5"/>
      <c r="AK598" s="5"/>
      <c r="AL598" s="5"/>
      <c r="AM598" s="5"/>
      <c r="AN598" s="5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</row>
    <row r="599" spans="1:240" ht="30" customHeight="1">
      <c r="A599" s="5">
        <v>597</v>
      </c>
      <c r="B599" s="5" t="s">
        <v>68</v>
      </c>
      <c r="C599" s="5"/>
      <c r="D599" s="5"/>
      <c r="E599" s="5">
        <v>2020</v>
      </c>
      <c r="F599" s="5">
        <v>1350</v>
      </c>
      <c r="G599" s="5">
        <v>1770</v>
      </c>
      <c r="H599" s="5">
        <v>525</v>
      </c>
      <c r="I599" s="5" t="s">
        <v>13</v>
      </c>
      <c r="J599" s="5" t="s">
        <v>48</v>
      </c>
      <c r="K599" s="17" t="s">
        <v>48</v>
      </c>
      <c r="L599" s="5">
        <v>119.05</v>
      </c>
      <c r="M599" s="5" t="s">
        <v>48</v>
      </c>
      <c r="N599" s="5" t="s">
        <v>48</v>
      </c>
      <c r="O599" s="5">
        <v>22948</v>
      </c>
      <c r="P599" s="5"/>
      <c r="Q599" s="5"/>
      <c r="R599" s="5">
        <v>2</v>
      </c>
      <c r="S599" s="5">
        <v>500</v>
      </c>
      <c r="T599" s="5"/>
      <c r="U599" s="5">
        <v>634</v>
      </c>
      <c r="V599" s="5">
        <v>4.4000000000000004</v>
      </c>
      <c r="W599" s="5" t="s">
        <v>50</v>
      </c>
      <c r="X599" s="5">
        <v>56</v>
      </c>
      <c r="Y599" s="5">
        <v>348</v>
      </c>
      <c r="Z599" s="5">
        <v>40.1</v>
      </c>
      <c r="AA599" s="5" t="s">
        <v>68</v>
      </c>
      <c r="AB599" s="5"/>
      <c r="AC599" s="5"/>
      <c r="AD599" s="5"/>
      <c r="AE599" s="5"/>
      <c r="AF599" s="5" t="s">
        <v>68</v>
      </c>
      <c r="AG599" s="5"/>
      <c r="AH599" s="5"/>
      <c r="AI599" s="5"/>
      <c r="AJ599" s="5"/>
      <c r="AK599" s="5"/>
      <c r="AL599" s="5"/>
      <c r="AM599" s="5"/>
      <c r="AN599" s="5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</row>
    <row r="600" spans="1:240" ht="30" customHeight="1">
      <c r="A600" s="5">
        <v>598</v>
      </c>
      <c r="B600" s="5" t="s">
        <v>68</v>
      </c>
      <c r="C600" s="5"/>
      <c r="D600" s="5"/>
      <c r="E600" s="5">
        <v>2020</v>
      </c>
      <c r="F600" s="5">
        <v>1350</v>
      </c>
      <c r="G600" s="5">
        <v>1770</v>
      </c>
      <c r="H600" s="5">
        <v>525</v>
      </c>
      <c r="I600" s="5" t="s">
        <v>13</v>
      </c>
      <c r="J600" s="5" t="s">
        <v>48</v>
      </c>
      <c r="K600" s="17" t="s">
        <v>48</v>
      </c>
      <c r="L600" s="5">
        <v>158.63999999999999</v>
      </c>
      <c r="M600" s="5" t="s">
        <v>48</v>
      </c>
      <c r="N600" s="5" t="s">
        <v>48</v>
      </c>
      <c r="O600" s="5">
        <v>35638</v>
      </c>
      <c r="P600" s="5"/>
      <c r="Q600" s="5"/>
      <c r="R600" s="5">
        <v>2</v>
      </c>
      <c r="S600" s="5">
        <v>500</v>
      </c>
      <c r="T600" s="5"/>
      <c r="U600" s="5">
        <v>638</v>
      </c>
      <c r="V600" s="5">
        <v>8</v>
      </c>
      <c r="W600" s="5" t="s">
        <v>50</v>
      </c>
      <c r="X600" s="5">
        <v>56</v>
      </c>
      <c r="Y600" s="5">
        <v>348</v>
      </c>
      <c r="Z600" s="5">
        <v>40.1</v>
      </c>
      <c r="AA600" s="5" t="s">
        <v>68</v>
      </c>
      <c r="AB600" s="5"/>
      <c r="AC600" s="5"/>
      <c r="AD600" s="5"/>
      <c r="AE600" s="5"/>
      <c r="AF600" s="5" t="s">
        <v>68</v>
      </c>
      <c r="AG600" s="5"/>
      <c r="AH600" s="5"/>
      <c r="AI600" s="5"/>
      <c r="AJ600" s="5"/>
      <c r="AK600" s="5"/>
      <c r="AL600" s="5"/>
      <c r="AM600" s="5"/>
      <c r="AN600" s="5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</row>
    <row r="601" spans="1:240" ht="30" customHeight="1">
      <c r="A601" s="5">
        <v>599</v>
      </c>
      <c r="B601" s="5" t="s">
        <v>68</v>
      </c>
      <c r="C601" s="5"/>
      <c r="D601" s="5"/>
      <c r="E601" s="5">
        <v>2020</v>
      </c>
      <c r="F601" s="5">
        <v>1350</v>
      </c>
      <c r="G601" s="5">
        <v>1770</v>
      </c>
      <c r="H601" s="5">
        <v>525</v>
      </c>
      <c r="I601" s="5" t="s">
        <v>13</v>
      </c>
      <c r="J601" s="5" t="s">
        <v>48</v>
      </c>
      <c r="K601" s="17" t="s">
        <v>48</v>
      </c>
      <c r="L601" s="5">
        <v>155.53</v>
      </c>
      <c r="M601" s="5" t="s">
        <v>48</v>
      </c>
      <c r="N601" s="5" t="s">
        <v>48</v>
      </c>
      <c r="O601" s="25">
        <v>34624</v>
      </c>
      <c r="P601" s="5"/>
      <c r="Q601" s="5"/>
      <c r="R601" s="5">
        <v>2</v>
      </c>
      <c r="S601" s="5">
        <v>500</v>
      </c>
      <c r="T601" s="5"/>
      <c r="U601" s="5">
        <v>667</v>
      </c>
      <c r="V601" s="5">
        <v>8</v>
      </c>
      <c r="W601" s="5" t="s">
        <v>50</v>
      </c>
      <c r="X601" s="5">
        <v>57</v>
      </c>
      <c r="Y601" s="5">
        <v>348</v>
      </c>
      <c r="Z601" s="5">
        <v>40.1</v>
      </c>
      <c r="AA601" s="5" t="s">
        <v>68</v>
      </c>
      <c r="AB601" s="5"/>
      <c r="AC601" s="5"/>
      <c r="AD601" s="5"/>
      <c r="AE601" s="5"/>
      <c r="AF601" s="5" t="s">
        <v>68</v>
      </c>
      <c r="AG601" s="5"/>
      <c r="AH601" s="5"/>
      <c r="AI601" s="5"/>
      <c r="AJ601" s="5"/>
      <c r="AK601" s="5"/>
      <c r="AL601" s="5"/>
      <c r="AM601" s="5"/>
      <c r="AN601" s="5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</row>
    <row r="602" spans="1:240" ht="30" customHeight="1">
      <c r="A602" s="5">
        <v>600</v>
      </c>
      <c r="B602" s="5" t="s">
        <v>68</v>
      </c>
      <c r="C602" s="5"/>
      <c r="D602" s="5"/>
      <c r="E602" s="5">
        <v>2020</v>
      </c>
      <c r="F602" s="5">
        <v>1350</v>
      </c>
      <c r="G602" s="5">
        <v>1770</v>
      </c>
      <c r="H602" s="5">
        <v>525</v>
      </c>
      <c r="I602" s="5" t="s">
        <v>13</v>
      </c>
      <c r="J602" s="5" t="s">
        <v>48</v>
      </c>
      <c r="K602" s="17" t="s">
        <v>48</v>
      </c>
      <c r="L602" s="5">
        <v>152.29</v>
      </c>
      <c r="M602" s="5" t="s">
        <v>48</v>
      </c>
      <c r="N602" s="5" t="s">
        <v>48</v>
      </c>
      <c r="O602" s="25">
        <v>35380</v>
      </c>
      <c r="P602" s="5"/>
      <c r="Q602" s="5"/>
      <c r="R602" s="5">
        <v>2</v>
      </c>
      <c r="S602" s="5">
        <v>500</v>
      </c>
      <c r="T602" s="5"/>
      <c r="U602" s="5">
        <v>720</v>
      </c>
      <c r="V602" s="5">
        <v>8</v>
      </c>
      <c r="W602" s="5" t="s">
        <v>50</v>
      </c>
      <c r="X602" s="5">
        <v>56</v>
      </c>
      <c r="Y602" s="5">
        <v>348</v>
      </c>
      <c r="Z602" s="5">
        <v>40.1</v>
      </c>
      <c r="AA602" s="5" t="s">
        <v>68</v>
      </c>
      <c r="AB602" s="5"/>
      <c r="AC602" s="5"/>
      <c r="AD602" s="5"/>
      <c r="AE602" s="5"/>
      <c r="AF602" s="5" t="s">
        <v>68</v>
      </c>
      <c r="AG602" s="5"/>
      <c r="AH602" s="5"/>
      <c r="AI602" s="5"/>
      <c r="AJ602" s="5"/>
      <c r="AK602" s="5"/>
      <c r="AL602" s="5"/>
      <c r="AM602" s="5"/>
      <c r="AN602" s="5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</row>
    <row r="603" spans="1:240" ht="30" customHeight="1">
      <c r="A603" s="5">
        <v>601</v>
      </c>
      <c r="B603" s="5" t="s">
        <v>68</v>
      </c>
      <c r="C603" s="5"/>
      <c r="D603" s="5"/>
      <c r="E603" s="5">
        <v>2020</v>
      </c>
      <c r="F603" s="5">
        <v>1350</v>
      </c>
      <c r="G603" s="5">
        <v>1770</v>
      </c>
      <c r="H603" s="5">
        <v>525</v>
      </c>
      <c r="I603" s="5" t="s">
        <v>13</v>
      </c>
      <c r="J603" s="5" t="s">
        <v>48</v>
      </c>
      <c r="K603" s="17" t="s">
        <v>48</v>
      </c>
      <c r="L603" s="5">
        <v>163.04</v>
      </c>
      <c r="M603" s="5" t="s">
        <v>48</v>
      </c>
      <c r="N603" s="5" t="s">
        <v>48</v>
      </c>
      <c r="O603" s="5">
        <v>36652</v>
      </c>
      <c r="P603" s="5"/>
      <c r="Q603" s="5"/>
      <c r="R603" s="5">
        <v>2</v>
      </c>
      <c r="S603" s="5">
        <v>500</v>
      </c>
      <c r="T603" s="5"/>
      <c r="U603" s="5">
        <v>760</v>
      </c>
      <c r="V603" s="5">
        <v>11</v>
      </c>
      <c r="W603" s="5" t="s">
        <v>50</v>
      </c>
      <c r="X603" s="5">
        <v>61</v>
      </c>
      <c r="Y603" s="5">
        <v>348</v>
      </c>
      <c r="Z603" s="5">
        <v>40.1</v>
      </c>
      <c r="AA603" s="5" t="s">
        <v>68</v>
      </c>
      <c r="AB603" s="5"/>
      <c r="AC603" s="5"/>
      <c r="AD603" s="5"/>
      <c r="AE603" s="5"/>
      <c r="AF603" s="5" t="s">
        <v>68</v>
      </c>
      <c r="AG603" s="5"/>
      <c r="AH603" s="5"/>
      <c r="AI603" s="5"/>
      <c r="AJ603" s="5"/>
      <c r="AK603" s="5"/>
      <c r="AL603" s="5"/>
      <c r="AM603" s="5"/>
      <c r="AN603" s="5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</row>
    <row r="604" spans="1:240" ht="30" customHeight="1">
      <c r="A604" s="5">
        <v>602</v>
      </c>
      <c r="B604" s="5" t="s">
        <v>68</v>
      </c>
      <c r="C604" s="5"/>
      <c r="D604" s="5"/>
      <c r="E604" s="5">
        <v>2020</v>
      </c>
      <c r="F604" s="5">
        <v>1350</v>
      </c>
      <c r="G604" s="5">
        <v>1770</v>
      </c>
      <c r="H604" s="5">
        <v>525</v>
      </c>
      <c r="I604" s="5" t="s">
        <v>13</v>
      </c>
      <c r="J604" s="5" t="s">
        <v>48</v>
      </c>
      <c r="K604" s="17" t="s">
        <v>48</v>
      </c>
      <c r="L604" s="5">
        <v>159.93</v>
      </c>
      <c r="M604" s="5" t="s">
        <v>48</v>
      </c>
      <c r="N604" s="5" t="s">
        <v>48</v>
      </c>
      <c r="O604" s="5">
        <v>36657</v>
      </c>
      <c r="P604" s="5"/>
      <c r="Q604" s="5"/>
      <c r="R604" s="5">
        <v>2</v>
      </c>
      <c r="S604" s="5">
        <v>500</v>
      </c>
      <c r="T604" s="5"/>
      <c r="U604" s="5">
        <v>805</v>
      </c>
      <c r="V604" s="5">
        <v>11</v>
      </c>
      <c r="W604" s="5" t="s">
        <v>50</v>
      </c>
      <c r="X604" s="5">
        <v>61</v>
      </c>
      <c r="Y604" s="5">
        <v>348</v>
      </c>
      <c r="Z604" s="5">
        <v>40.1</v>
      </c>
      <c r="AA604" s="5" t="s">
        <v>68</v>
      </c>
      <c r="AB604" s="5"/>
      <c r="AC604" s="5"/>
      <c r="AD604" s="5"/>
      <c r="AE604" s="5"/>
      <c r="AF604" s="5" t="s">
        <v>68</v>
      </c>
      <c r="AG604" s="5"/>
      <c r="AH604" s="5"/>
      <c r="AI604" s="5"/>
      <c r="AJ604" s="5"/>
      <c r="AK604" s="5"/>
      <c r="AL604" s="5"/>
      <c r="AM604" s="5"/>
      <c r="AN604" s="5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</row>
    <row r="605" spans="1:240" ht="30" customHeight="1">
      <c r="A605" s="5">
        <v>603</v>
      </c>
      <c r="B605" s="5" t="s">
        <v>68</v>
      </c>
      <c r="C605" s="5"/>
      <c r="D605" s="5"/>
      <c r="E605" s="5">
        <v>2440</v>
      </c>
      <c r="F605" s="5">
        <v>2080</v>
      </c>
      <c r="G605" s="5">
        <v>1820</v>
      </c>
      <c r="H605" s="5">
        <v>653</v>
      </c>
      <c r="I605" s="5" t="s">
        <v>13</v>
      </c>
      <c r="J605" s="24">
        <v>18.207712694812642</v>
      </c>
      <c r="K605" s="30">
        <v>5</v>
      </c>
      <c r="L605" s="5">
        <v>105</v>
      </c>
      <c r="M605" s="31">
        <v>10</v>
      </c>
      <c r="N605" s="5" t="s">
        <v>48</v>
      </c>
      <c r="O605" s="5">
        <v>43520</v>
      </c>
      <c r="P605" s="5"/>
      <c r="Q605" s="5"/>
      <c r="R605" s="5">
        <v>3</v>
      </c>
      <c r="S605" s="5">
        <v>630</v>
      </c>
      <c r="T605" s="5"/>
      <c r="U605" s="5">
        <v>1380</v>
      </c>
      <c r="V605" s="5">
        <v>4.95</v>
      </c>
      <c r="W605" s="5" t="s">
        <v>99</v>
      </c>
      <c r="X605" s="5">
        <v>57</v>
      </c>
      <c r="Y605" s="5">
        <v>190</v>
      </c>
      <c r="Z605" s="5">
        <v>21.8</v>
      </c>
      <c r="AA605" s="5" t="s">
        <v>68</v>
      </c>
      <c r="AB605" s="5"/>
      <c r="AC605" s="5"/>
      <c r="AD605" s="5"/>
      <c r="AE605" s="5"/>
      <c r="AF605" s="5" t="s">
        <v>68</v>
      </c>
      <c r="AG605" s="5"/>
      <c r="AH605" s="5"/>
      <c r="AI605" s="5"/>
      <c r="AJ605" s="5"/>
      <c r="AK605" s="5"/>
      <c r="AL605" s="5"/>
      <c r="AM605" s="5"/>
      <c r="AN605" s="5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</row>
    <row r="606" spans="1:240" ht="30" customHeight="1">
      <c r="A606" s="5">
        <v>604</v>
      </c>
      <c r="B606" s="5" t="s">
        <v>68</v>
      </c>
      <c r="C606" s="5"/>
      <c r="D606" s="5"/>
      <c r="E606" s="5">
        <v>2440</v>
      </c>
      <c r="F606" s="5">
        <v>2080</v>
      </c>
      <c r="G606" s="5">
        <v>1820</v>
      </c>
      <c r="H606" s="5">
        <v>685</v>
      </c>
      <c r="I606" s="5" t="s">
        <v>13</v>
      </c>
      <c r="J606" s="24">
        <v>23.236509534332324</v>
      </c>
      <c r="K606" s="30">
        <v>5</v>
      </c>
      <c r="L606" s="5">
        <v>134</v>
      </c>
      <c r="M606" s="31">
        <v>10</v>
      </c>
      <c r="N606" s="5" t="s">
        <v>48</v>
      </c>
      <c r="O606" s="5">
        <v>41890</v>
      </c>
      <c r="P606" s="5"/>
      <c r="Q606" s="5"/>
      <c r="R606" s="5">
        <v>3</v>
      </c>
      <c r="S606" s="5">
        <v>630</v>
      </c>
      <c r="T606" s="5"/>
      <c r="U606" s="5">
        <v>1380</v>
      </c>
      <c r="V606" s="5">
        <v>4.95</v>
      </c>
      <c r="W606" s="5" t="s">
        <v>99</v>
      </c>
      <c r="X606" s="5">
        <v>57</v>
      </c>
      <c r="Y606" s="5">
        <v>285</v>
      </c>
      <c r="Z606" s="5">
        <v>32.700000000000003</v>
      </c>
      <c r="AA606" s="5" t="s">
        <v>68</v>
      </c>
      <c r="AB606" s="5"/>
      <c r="AC606" s="5"/>
      <c r="AD606" s="5"/>
      <c r="AE606" s="5"/>
      <c r="AF606" s="5" t="s">
        <v>68</v>
      </c>
      <c r="AG606" s="5"/>
      <c r="AH606" s="5"/>
      <c r="AI606" s="5"/>
      <c r="AJ606" s="5"/>
      <c r="AK606" s="5"/>
      <c r="AL606" s="5"/>
      <c r="AM606" s="5"/>
      <c r="AN606" s="5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</row>
    <row r="607" spans="1:240" ht="30" customHeight="1">
      <c r="A607" s="5">
        <v>605</v>
      </c>
      <c r="B607" s="5" t="s">
        <v>68</v>
      </c>
      <c r="C607" s="5"/>
      <c r="D607" s="5"/>
      <c r="E607" s="5">
        <v>2440</v>
      </c>
      <c r="F607" s="5">
        <v>2080</v>
      </c>
      <c r="G607" s="5">
        <v>1820</v>
      </c>
      <c r="H607" s="5">
        <v>720</v>
      </c>
      <c r="I607" s="5" t="s">
        <v>13</v>
      </c>
      <c r="J607" s="24">
        <v>26.184424923016277</v>
      </c>
      <c r="K607" s="30">
        <v>5</v>
      </c>
      <c r="L607" s="5">
        <v>151</v>
      </c>
      <c r="M607" s="31">
        <v>10</v>
      </c>
      <c r="N607" s="5" t="s">
        <v>48</v>
      </c>
      <c r="O607" s="5">
        <v>39950</v>
      </c>
      <c r="P607" s="5"/>
      <c r="Q607" s="5"/>
      <c r="R607" s="5">
        <v>3</v>
      </c>
      <c r="S607" s="5">
        <v>630</v>
      </c>
      <c r="T607" s="5"/>
      <c r="U607" s="5">
        <v>1380</v>
      </c>
      <c r="V607" s="6">
        <v>4.95</v>
      </c>
      <c r="W607" s="5" t="s">
        <v>99</v>
      </c>
      <c r="X607" s="5">
        <v>57</v>
      </c>
      <c r="Y607" s="5">
        <v>387</v>
      </c>
      <c r="Z607" s="5">
        <v>44.2</v>
      </c>
      <c r="AA607" s="5" t="s">
        <v>68</v>
      </c>
      <c r="AB607" s="5"/>
      <c r="AC607" s="5"/>
      <c r="AD607" s="5"/>
      <c r="AE607" s="5"/>
      <c r="AF607" s="5" t="s">
        <v>68</v>
      </c>
      <c r="AG607" s="5"/>
      <c r="AH607" s="5"/>
      <c r="AI607" s="5"/>
      <c r="AJ607" s="5"/>
      <c r="AK607" s="5"/>
      <c r="AL607" s="5"/>
      <c r="AM607" s="5"/>
      <c r="AN607" s="5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</row>
    <row r="608" spans="1:240" ht="30" customHeight="1">
      <c r="A608" s="5">
        <v>606</v>
      </c>
      <c r="B608" s="5" t="s">
        <v>68</v>
      </c>
      <c r="C608" s="5"/>
      <c r="D608" s="5"/>
      <c r="E608" s="5">
        <v>3230</v>
      </c>
      <c r="F608" s="5">
        <v>2080</v>
      </c>
      <c r="G608" s="5">
        <v>1820</v>
      </c>
      <c r="H608" s="5">
        <v>818</v>
      </c>
      <c r="I608" s="5" t="s">
        <v>13</v>
      </c>
      <c r="J608" s="24">
        <v>31.039814974966319</v>
      </c>
      <c r="K608" s="30">
        <v>5</v>
      </c>
      <c r="L608" s="5">
        <v>179</v>
      </c>
      <c r="M608" s="31">
        <v>10</v>
      </c>
      <c r="N608" s="5" t="s">
        <v>48</v>
      </c>
      <c r="O608" s="5">
        <v>55860</v>
      </c>
      <c r="P608" s="5"/>
      <c r="Q608" s="5"/>
      <c r="R608" s="5">
        <v>4</v>
      </c>
      <c r="S608" s="5">
        <v>630</v>
      </c>
      <c r="T608" s="5"/>
      <c r="U608" s="5">
        <v>1380</v>
      </c>
      <c r="V608" s="5">
        <v>6.6</v>
      </c>
      <c r="W608" s="5" t="s">
        <v>99</v>
      </c>
      <c r="X608" s="5">
        <v>58</v>
      </c>
      <c r="Y608" s="5">
        <v>387</v>
      </c>
      <c r="Z608" s="5">
        <v>44.2</v>
      </c>
      <c r="AA608" s="5" t="s">
        <v>68</v>
      </c>
      <c r="AB608" s="5"/>
      <c r="AC608" s="5"/>
      <c r="AD608" s="5"/>
      <c r="AE608" s="5"/>
      <c r="AF608" s="5" t="s">
        <v>68</v>
      </c>
      <c r="AG608" s="5"/>
      <c r="AH608" s="5"/>
      <c r="AI608" s="5"/>
      <c r="AJ608" s="5"/>
      <c r="AK608" s="5"/>
      <c r="AL608" s="5"/>
      <c r="AM608" s="5"/>
      <c r="AN608" s="5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</row>
    <row r="609" spans="1:240" ht="30" customHeight="1">
      <c r="A609" s="5">
        <v>607</v>
      </c>
      <c r="B609" s="5" t="s">
        <v>68</v>
      </c>
      <c r="C609" s="5"/>
      <c r="D609" s="5"/>
      <c r="E609" s="5">
        <v>3230</v>
      </c>
      <c r="F609" s="5">
        <v>2080</v>
      </c>
      <c r="G609" s="5">
        <v>1820</v>
      </c>
      <c r="H609" s="5">
        <v>860</v>
      </c>
      <c r="I609" s="5" t="s">
        <v>13</v>
      </c>
      <c r="J609" s="24">
        <v>35.028171089068138</v>
      </c>
      <c r="K609" s="30">
        <v>5</v>
      </c>
      <c r="L609" s="5">
        <v>202</v>
      </c>
      <c r="M609" s="31">
        <v>10</v>
      </c>
      <c r="N609" s="5" t="s">
        <v>48</v>
      </c>
      <c r="O609" s="5">
        <v>53270</v>
      </c>
      <c r="P609" s="5"/>
      <c r="Q609" s="5"/>
      <c r="R609" s="5">
        <v>4</v>
      </c>
      <c r="S609" s="5">
        <v>630</v>
      </c>
      <c r="T609" s="5"/>
      <c r="U609" s="5">
        <v>1380</v>
      </c>
      <c r="V609" s="5">
        <v>6.6</v>
      </c>
      <c r="W609" s="5" t="s">
        <v>99</v>
      </c>
      <c r="X609" s="5">
        <v>58</v>
      </c>
      <c r="Y609" s="5">
        <v>517</v>
      </c>
      <c r="Z609" s="5">
        <v>59</v>
      </c>
      <c r="AA609" s="5" t="s">
        <v>68</v>
      </c>
      <c r="AB609" s="5"/>
      <c r="AC609" s="5"/>
      <c r="AD609" s="5"/>
      <c r="AE609" s="5"/>
      <c r="AF609" s="5" t="s">
        <v>68</v>
      </c>
      <c r="AG609" s="5"/>
      <c r="AH609" s="5"/>
      <c r="AI609" s="5"/>
      <c r="AJ609" s="5"/>
      <c r="AK609" s="5"/>
      <c r="AL609" s="5"/>
      <c r="AM609" s="5"/>
      <c r="AN609" s="5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</row>
    <row r="610" spans="1:240" ht="30" customHeight="1">
      <c r="A610" s="5">
        <v>608</v>
      </c>
      <c r="B610" s="5" t="s">
        <v>68</v>
      </c>
      <c r="C610" s="5"/>
      <c r="D610" s="5"/>
      <c r="E610" s="5">
        <v>4010</v>
      </c>
      <c r="F610" s="5">
        <v>2080</v>
      </c>
      <c r="G610" s="5">
        <v>1820</v>
      </c>
      <c r="H610" s="5">
        <v>993</v>
      </c>
      <c r="I610" s="5" t="s">
        <v>13</v>
      </c>
      <c r="J610" s="24">
        <v>39.01652720316995</v>
      </c>
      <c r="K610" s="30">
        <v>5</v>
      </c>
      <c r="L610" s="5">
        <v>225</v>
      </c>
      <c r="M610" s="31">
        <v>10</v>
      </c>
      <c r="N610" s="5" t="s">
        <v>48</v>
      </c>
      <c r="O610" s="5">
        <v>69830</v>
      </c>
      <c r="P610" s="5"/>
      <c r="Q610" s="5"/>
      <c r="R610" s="5">
        <v>5</v>
      </c>
      <c r="S610" s="5">
        <v>630</v>
      </c>
      <c r="T610" s="5"/>
      <c r="U610" s="5">
        <v>1380</v>
      </c>
      <c r="V610" s="5">
        <v>8.25</v>
      </c>
      <c r="W610" s="5" t="s">
        <v>99</v>
      </c>
      <c r="X610" s="5">
        <v>59</v>
      </c>
      <c r="Y610" s="5">
        <v>490</v>
      </c>
      <c r="Z610" s="5">
        <v>55.7</v>
      </c>
      <c r="AA610" s="5" t="s">
        <v>68</v>
      </c>
      <c r="AB610" s="5"/>
      <c r="AC610" s="5"/>
      <c r="AD610" s="5"/>
      <c r="AE610" s="5"/>
      <c r="AF610" s="5" t="s">
        <v>68</v>
      </c>
      <c r="AG610" s="5"/>
      <c r="AH610" s="5"/>
      <c r="AI610" s="5"/>
      <c r="AJ610" s="5"/>
      <c r="AK610" s="5"/>
      <c r="AL610" s="5"/>
      <c r="AM610" s="5"/>
      <c r="AN610" s="5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</row>
    <row r="611" spans="1:240" ht="30" customHeight="1">
      <c r="A611" s="5">
        <v>609</v>
      </c>
      <c r="B611" s="5" t="s">
        <v>68</v>
      </c>
      <c r="C611" s="5"/>
      <c r="D611" s="5"/>
      <c r="E611" s="5">
        <v>4010</v>
      </c>
      <c r="F611" s="5">
        <v>2080</v>
      </c>
      <c r="G611" s="5">
        <v>1820</v>
      </c>
      <c r="H611" s="5">
        <v>1032</v>
      </c>
      <c r="I611" s="5" t="s">
        <v>13</v>
      </c>
      <c r="J611" s="24">
        <v>43.871917255119989</v>
      </c>
      <c r="K611" s="30">
        <v>5</v>
      </c>
      <c r="L611" s="5">
        <v>253</v>
      </c>
      <c r="M611" s="31">
        <v>10</v>
      </c>
      <c r="N611" s="5" t="s">
        <v>48</v>
      </c>
      <c r="O611" s="5">
        <v>66590</v>
      </c>
      <c r="P611" s="5"/>
      <c r="Q611" s="5"/>
      <c r="R611" s="5">
        <v>5</v>
      </c>
      <c r="S611" s="5">
        <v>630</v>
      </c>
      <c r="T611" s="5"/>
      <c r="U611" s="5">
        <v>1380</v>
      </c>
      <c r="V611" s="5">
        <v>8.25</v>
      </c>
      <c r="W611" s="5" t="s">
        <v>99</v>
      </c>
      <c r="X611" s="5">
        <v>59</v>
      </c>
      <c r="Y611" s="5">
        <v>654</v>
      </c>
      <c r="Z611" s="5">
        <v>74.400000000000006</v>
      </c>
      <c r="AA611" s="5" t="s">
        <v>68</v>
      </c>
      <c r="AB611" s="5"/>
      <c r="AC611" s="5"/>
      <c r="AD611" s="5"/>
      <c r="AE611" s="5"/>
      <c r="AF611" s="5" t="s">
        <v>68</v>
      </c>
      <c r="AG611" s="5"/>
      <c r="AH611" s="5"/>
      <c r="AI611" s="5"/>
      <c r="AJ611" s="5"/>
      <c r="AK611" s="5"/>
      <c r="AL611" s="5"/>
      <c r="AM611" s="5"/>
      <c r="AN611" s="5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</row>
    <row r="612" spans="1:240" ht="30" customHeight="1">
      <c r="A612" s="5">
        <v>610</v>
      </c>
      <c r="B612" s="5" t="s">
        <v>68</v>
      </c>
      <c r="C612" s="5"/>
      <c r="D612" s="5"/>
      <c r="E612" s="5">
        <v>2440</v>
      </c>
      <c r="F612" s="5">
        <v>2080</v>
      </c>
      <c r="G612" s="5">
        <v>1820</v>
      </c>
      <c r="H612" s="5">
        <v>653</v>
      </c>
      <c r="I612" s="5" t="s">
        <v>13</v>
      </c>
      <c r="J612" s="24">
        <v>13.491048072918318</v>
      </c>
      <c r="K612" s="30">
        <v>5</v>
      </c>
      <c r="L612" s="5">
        <v>77.8</v>
      </c>
      <c r="M612" s="31">
        <v>10</v>
      </c>
      <c r="N612" s="5" t="s">
        <v>48</v>
      </c>
      <c r="O612" s="5">
        <v>24890</v>
      </c>
      <c r="P612" s="5"/>
      <c r="Q612" s="5"/>
      <c r="R612" s="5">
        <v>3</v>
      </c>
      <c r="S612" s="5">
        <v>630</v>
      </c>
      <c r="T612" s="5"/>
      <c r="U612" s="5">
        <v>890</v>
      </c>
      <c r="V612" s="5">
        <v>1.8</v>
      </c>
      <c r="W612" s="5" t="s">
        <v>99</v>
      </c>
      <c r="X612" s="5">
        <v>48</v>
      </c>
      <c r="Y612" s="5">
        <v>190</v>
      </c>
      <c r="Z612" s="5">
        <v>21.8</v>
      </c>
      <c r="AA612" s="5" t="s">
        <v>68</v>
      </c>
      <c r="AB612" s="5"/>
      <c r="AC612" s="5"/>
      <c r="AD612" s="5"/>
      <c r="AE612" s="5"/>
      <c r="AF612" s="5" t="s">
        <v>68</v>
      </c>
      <c r="AG612" s="5"/>
      <c r="AH612" s="5"/>
      <c r="AI612" s="5"/>
      <c r="AJ612" s="5"/>
      <c r="AK612" s="5"/>
      <c r="AL612" s="5"/>
      <c r="AM612" s="5"/>
      <c r="AN612" s="5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</row>
    <row r="613" spans="1:240" ht="30" customHeight="1">
      <c r="A613" s="5">
        <v>611</v>
      </c>
      <c r="B613" s="5" t="s">
        <v>68</v>
      </c>
      <c r="C613" s="5"/>
      <c r="D613" s="5"/>
      <c r="E613" s="5">
        <v>2440</v>
      </c>
      <c r="F613" s="5">
        <v>2080</v>
      </c>
      <c r="G613" s="5">
        <v>1820</v>
      </c>
      <c r="H613" s="5">
        <v>685</v>
      </c>
      <c r="I613" s="5" t="s">
        <v>13</v>
      </c>
      <c r="J613" s="24">
        <v>16.126831243976913</v>
      </c>
      <c r="K613" s="30">
        <v>5</v>
      </c>
      <c r="L613" s="5">
        <v>93</v>
      </c>
      <c r="M613" s="31">
        <v>10</v>
      </c>
      <c r="N613" s="5" t="s">
        <v>48</v>
      </c>
      <c r="O613" s="5">
        <v>23680</v>
      </c>
      <c r="P613" s="5"/>
      <c r="Q613" s="5"/>
      <c r="R613" s="5">
        <v>3</v>
      </c>
      <c r="S613" s="5">
        <v>630</v>
      </c>
      <c r="T613" s="5"/>
      <c r="U613" s="5">
        <v>890</v>
      </c>
      <c r="V613" s="5">
        <v>1.8</v>
      </c>
      <c r="W613" s="5" t="s">
        <v>99</v>
      </c>
      <c r="X613" s="5">
        <v>48</v>
      </c>
      <c r="Y613" s="5">
        <v>285</v>
      </c>
      <c r="Z613" s="5">
        <v>32.700000000000003</v>
      </c>
      <c r="AA613" s="5" t="s">
        <v>68</v>
      </c>
      <c r="AB613" s="5"/>
      <c r="AC613" s="5"/>
      <c r="AD613" s="5"/>
      <c r="AE613" s="5"/>
      <c r="AF613" s="5" t="s">
        <v>68</v>
      </c>
      <c r="AG613" s="5"/>
      <c r="AH613" s="5"/>
      <c r="AI613" s="5"/>
      <c r="AJ613" s="5"/>
      <c r="AK613" s="5"/>
      <c r="AL613" s="5"/>
      <c r="AM613" s="5"/>
      <c r="AN613" s="5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</row>
    <row r="614" spans="1:240" ht="30" customHeight="1">
      <c r="A614" s="5">
        <v>612</v>
      </c>
      <c r="B614" s="5" t="s">
        <v>68</v>
      </c>
      <c r="C614" s="5"/>
      <c r="D614" s="5"/>
      <c r="E614" s="5">
        <v>2440</v>
      </c>
      <c r="F614" s="5">
        <v>2080</v>
      </c>
      <c r="G614" s="5">
        <v>1820</v>
      </c>
      <c r="H614" s="5">
        <v>720</v>
      </c>
      <c r="I614" s="5" t="s">
        <v>13</v>
      </c>
      <c r="J614" s="24">
        <v>17.253975363179599</v>
      </c>
      <c r="K614" s="30">
        <v>5</v>
      </c>
      <c r="L614" s="5">
        <v>99.5</v>
      </c>
      <c r="M614" s="31">
        <v>10</v>
      </c>
      <c r="N614" s="5" t="s">
        <v>48</v>
      </c>
      <c r="O614" s="5">
        <v>22470</v>
      </c>
      <c r="P614" s="5"/>
      <c r="Q614" s="5"/>
      <c r="R614" s="5">
        <v>3</v>
      </c>
      <c r="S614" s="5">
        <v>630</v>
      </c>
      <c r="T614" s="5"/>
      <c r="U614" s="5">
        <v>890</v>
      </c>
      <c r="V614" s="5">
        <v>1.8</v>
      </c>
      <c r="W614" s="5" t="s">
        <v>99</v>
      </c>
      <c r="X614" s="5">
        <v>48</v>
      </c>
      <c r="Y614" s="5">
        <v>387</v>
      </c>
      <c r="Z614" s="5">
        <v>44.2</v>
      </c>
      <c r="AA614" s="5" t="s">
        <v>68</v>
      </c>
      <c r="AB614" s="5"/>
      <c r="AC614" s="5"/>
      <c r="AD614" s="5"/>
      <c r="AE614" s="5"/>
      <c r="AF614" s="5" t="s">
        <v>68</v>
      </c>
      <c r="AG614" s="5"/>
      <c r="AH614" s="5"/>
      <c r="AI614" s="5"/>
      <c r="AJ614" s="5"/>
      <c r="AK614" s="5"/>
      <c r="AL614" s="5"/>
      <c r="AM614" s="5"/>
      <c r="AN614" s="5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</row>
    <row r="615" spans="1:240" ht="30" customHeight="1">
      <c r="A615" s="5">
        <v>613</v>
      </c>
      <c r="B615" s="5" t="s">
        <v>68</v>
      </c>
      <c r="C615" s="5"/>
      <c r="D615" s="5"/>
      <c r="E615" s="5">
        <v>3230</v>
      </c>
      <c r="F615" s="5">
        <v>2080</v>
      </c>
      <c r="G615" s="5">
        <v>1820</v>
      </c>
      <c r="H615" s="5">
        <v>818</v>
      </c>
      <c r="I615" s="5" t="s">
        <v>13</v>
      </c>
      <c r="J615" s="24">
        <v>21.502441658635885</v>
      </c>
      <c r="K615" s="30">
        <v>5</v>
      </c>
      <c r="L615" s="5">
        <v>124</v>
      </c>
      <c r="M615" s="31">
        <v>10</v>
      </c>
      <c r="N615" s="5" t="s">
        <v>48</v>
      </c>
      <c r="O615" s="5">
        <v>31570</v>
      </c>
      <c r="P615" s="5"/>
      <c r="Q615" s="5"/>
      <c r="R615" s="5">
        <v>4</v>
      </c>
      <c r="S615" s="5">
        <v>630</v>
      </c>
      <c r="T615" s="5"/>
      <c r="U615" s="5">
        <v>890</v>
      </c>
      <c r="V615" s="5">
        <v>2.4</v>
      </c>
      <c r="W615" s="5" t="s">
        <v>99</v>
      </c>
      <c r="X615" s="5">
        <v>49</v>
      </c>
      <c r="Y615" s="5">
        <v>387</v>
      </c>
      <c r="Z615" s="5">
        <v>44.2</v>
      </c>
      <c r="AA615" s="5" t="s">
        <v>68</v>
      </c>
      <c r="AB615" s="5"/>
      <c r="AC615" s="5"/>
      <c r="AD615" s="5"/>
      <c r="AE615" s="5"/>
      <c r="AF615" s="5" t="s">
        <v>68</v>
      </c>
      <c r="AG615" s="5"/>
      <c r="AH615" s="5"/>
      <c r="AI615" s="5"/>
      <c r="AJ615" s="5"/>
      <c r="AK615" s="5"/>
      <c r="AL615" s="5"/>
      <c r="AM615" s="5"/>
      <c r="AN615" s="5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</row>
    <row r="616" spans="1:240" ht="30" customHeight="1">
      <c r="A616" s="5">
        <v>614</v>
      </c>
      <c r="B616" s="5" t="s">
        <v>68</v>
      </c>
      <c r="C616" s="5"/>
      <c r="D616" s="5"/>
      <c r="E616" s="5">
        <v>3230</v>
      </c>
      <c r="F616" s="5">
        <v>2080</v>
      </c>
      <c r="G616" s="5">
        <v>1820</v>
      </c>
      <c r="H616" s="5">
        <v>860</v>
      </c>
      <c r="I616" s="5" t="s">
        <v>13</v>
      </c>
      <c r="J616" s="24">
        <v>23.063102746762681</v>
      </c>
      <c r="K616" s="30">
        <v>5</v>
      </c>
      <c r="L616" s="5">
        <v>133</v>
      </c>
      <c r="M616" s="31">
        <v>10</v>
      </c>
      <c r="N616" s="5" t="s">
        <v>48</v>
      </c>
      <c r="O616" s="5">
        <v>29970</v>
      </c>
      <c r="P616" s="5"/>
      <c r="Q616" s="5"/>
      <c r="R616" s="5">
        <v>4</v>
      </c>
      <c r="S616" s="5">
        <v>630</v>
      </c>
      <c r="T616" s="5"/>
      <c r="U616" s="5">
        <v>890</v>
      </c>
      <c r="V616" s="5">
        <v>2.4</v>
      </c>
      <c r="W616" s="5" t="s">
        <v>99</v>
      </c>
      <c r="X616" s="5">
        <v>49</v>
      </c>
      <c r="Y616" s="5">
        <v>517</v>
      </c>
      <c r="Z616" s="5">
        <v>59</v>
      </c>
      <c r="AA616" s="5" t="s">
        <v>68</v>
      </c>
      <c r="AB616" s="5"/>
      <c r="AC616" s="5"/>
      <c r="AD616" s="5"/>
      <c r="AE616" s="5"/>
      <c r="AF616" s="5" t="s">
        <v>68</v>
      </c>
      <c r="AG616" s="5"/>
      <c r="AH616" s="5"/>
      <c r="AI616" s="5"/>
      <c r="AJ616" s="5"/>
      <c r="AK616" s="5"/>
      <c r="AL616" s="5"/>
      <c r="AM616" s="5"/>
      <c r="AN616" s="5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</row>
    <row r="617" spans="1:240" ht="30" customHeight="1">
      <c r="A617" s="5">
        <v>615</v>
      </c>
      <c r="B617" s="5" t="s">
        <v>68</v>
      </c>
      <c r="C617" s="5"/>
      <c r="D617" s="5"/>
      <c r="E617" s="5">
        <v>4010</v>
      </c>
      <c r="F617" s="5">
        <v>2080</v>
      </c>
      <c r="G617" s="5">
        <v>1820</v>
      </c>
      <c r="H617" s="5">
        <v>993</v>
      </c>
      <c r="I617" s="5" t="s">
        <v>13</v>
      </c>
      <c r="J617" s="24">
        <v>27.0514588608645</v>
      </c>
      <c r="K617" s="30">
        <v>5</v>
      </c>
      <c r="L617" s="5">
        <v>156</v>
      </c>
      <c r="M617" s="31">
        <v>10</v>
      </c>
      <c r="N617" s="5" t="s">
        <v>48</v>
      </c>
      <c r="O617" s="5">
        <v>39470</v>
      </c>
      <c r="P617" s="5"/>
      <c r="Q617" s="5"/>
      <c r="R617" s="5">
        <v>5</v>
      </c>
      <c r="S617" s="5">
        <v>630</v>
      </c>
      <c r="T617" s="5"/>
      <c r="U617" s="5">
        <v>890</v>
      </c>
      <c r="V617" s="5">
        <v>3</v>
      </c>
      <c r="W617" s="5" t="s">
        <v>99</v>
      </c>
      <c r="X617" s="5">
        <v>50</v>
      </c>
      <c r="Y617" s="5">
        <v>490</v>
      </c>
      <c r="Z617" s="5">
        <v>55.7</v>
      </c>
      <c r="AA617" s="5" t="s">
        <v>68</v>
      </c>
      <c r="AB617" s="5"/>
      <c r="AC617" s="5"/>
      <c r="AD617" s="5"/>
      <c r="AE617" s="5"/>
      <c r="AF617" s="5" t="s">
        <v>68</v>
      </c>
      <c r="AG617" s="5"/>
      <c r="AH617" s="5"/>
      <c r="AI617" s="5"/>
      <c r="AJ617" s="5"/>
      <c r="AK617" s="5"/>
      <c r="AL617" s="5"/>
      <c r="AM617" s="5"/>
      <c r="AN617" s="5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</row>
    <row r="618" spans="1:240" ht="30" customHeight="1">
      <c r="A618" s="5">
        <v>616</v>
      </c>
      <c r="B618" s="5" t="s">
        <v>68</v>
      </c>
      <c r="C618" s="5"/>
      <c r="D618" s="5"/>
      <c r="E618" s="5">
        <v>4010</v>
      </c>
      <c r="F618" s="5">
        <v>2080</v>
      </c>
      <c r="G618" s="5">
        <v>1820</v>
      </c>
      <c r="H618" s="5">
        <v>1032</v>
      </c>
      <c r="I618" s="5" t="s">
        <v>13</v>
      </c>
      <c r="J618" s="24">
        <v>28.958933524130583</v>
      </c>
      <c r="K618" s="30">
        <v>5</v>
      </c>
      <c r="L618" s="5">
        <v>167</v>
      </c>
      <c r="M618" s="31">
        <v>10</v>
      </c>
      <c r="N618" s="5" t="s">
        <v>48</v>
      </c>
      <c r="O618" s="5">
        <v>37460</v>
      </c>
      <c r="P618" s="5"/>
      <c r="Q618" s="5"/>
      <c r="R618" s="5">
        <v>5</v>
      </c>
      <c r="S618" s="5">
        <v>630</v>
      </c>
      <c r="T618" s="5"/>
      <c r="U618" s="5">
        <v>890</v>
      </c>
      <c r="V618" s="5">
        <v>3</v>
      </c>
      <c r="W618" s="5" t="s">
        <v>99</v>
      </c>
      <c r="X618" s="5">
        <v>50</v>
      </c>
      <c r="Y618" s="5">
        <v>654</v>
      </c>
      <c r="Z618" s="5">
        <v>74.400000000000006</v>
      </c>
      <c r="AA618" s="5" t="s">
        <v>68</v>
      </c>
      <c r="AB618" s="5"/>
      <c r="AC618" s="5"/>
      <c r="AD618" s="5"/>
      <c r="AE618" s="5"/>
      <c r="AF618" s="5" t="s">
        <v>68</v>
      </c>
      <c r="AG618" s="5"/>
      <c r="AH618" s="5"/>
      <c r="AI618" s="5"/>
      <c r="AJ618" s="5"/>
      <c r="AK618" s="5"/>
      <c r="AL618" s="5"/>
      <c r="AM618" s="5"/>
      <c r="AN618" s="5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</row>
    <row r="619" spans="1:240" ht="30" customHeight="1">
      <c r="A619" s="5">
        <v>617</v>
      </c>
      <c r="B619" s="5" t="s">
        <v>68</v>
      </c>
      <c r="C619" s="5"/>
      <c r="D619" s="5"/>
      <c r="E619" s="5">
        <v>2440</v>
      </c>
      <c r="F619" s="5">
        <v>2080</v>
      </c>
      <c r="G619" s="5">
        <v>1820</v>
      </c>
      <c r="H619" s="5">
        <v>653</v>
      </c>
      <c r="I619" s="5" t="s">
        <v>13</v>
      </c>
      <c r="J619" s="24">
        <v>11.271441192026874</v>
      </c>
      <c r="K619" s="30">
        <v>5</v>
      </c>
      <c r="L619" s="5">
        <v>65</v>
      </c>
      <c r="M619" s="31">
        <v>10</v>
      </c>
      <c r="N619" s="5" t="s">
        <v>48</v>
      </c>
      <c r="O619" s="5">
        <v>18550</v>
      </c>
      <c r="P619" s="5"/>
      <c r="Q619" s="5"/>
      <c r="R619" s="5">
        <v>3</v>
      </c>
      <c r="S619" s="5">
        <v>630</v>
      </c>
      <c r="T619" s="5"/>
      <c r="U619" s="5">
        <v>660</v>
      </c>
      <c r="V619" s="5">
        <v>0.99</v>
      </c>
      <c r="W619" s="5" t="s">
        <v>99</v>
      </c>
      <c r="X619" s="5">
        <v>38</v>
      </c>
      <c r="Y619" s="5">
        <v>190</v>
      </c>
      <c r="Z619" s="5">
        <v>21.8</v>
      </c>
      <c r="AA619" s="5" t="s">
        <v>68</v>
      </c>
      <c r="AB619" s="5"/>
      <c r="AC619" s="5"/>
      <c r="AD619" s="5"/>
      <c r="AE619" s="5"/>
      <c r="AF619" s="5" t="s">
        <v>68</v>
      </c>
      <c r="AG619" s="5"/>
      <c r="AH619" s="5"/>
      <c r="AI619" s="5"/>
      <c r="AJ619" s="5"/>
      <c r="AK619" s="5"/>
      <c r="AL619" s="5"/>
      <c r="AM619" s="5"/>
      <c r="AN619" s="5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</row>
    <row r="620" spans="1:240" ht="30" customHeight="1">
      <c r="A620" s="5">
        <v>618</v>
      </c>
      <c r="B620" s="5" t="s">
        <v>68</v>
      </c>
      <c r="C620" s="5"/>
      <c r="D620" s="5"/>
      <c r="E620" s="5">
        <v>2440</v>
      </c>
      <c r="F620" s="5">
        <v>2080</v>
      </c>
      <c r="G620" s="5">
        <v>1820</v>
      </c>
      <c r="H620" s="5">
        <v>685</v>
      </c>
      <c r="I620" s="5" t="s">
        <v>13</v>
      </c>
      <c r="J620" s="24">
        <v>12.71071752885492</v>
      </c>
      <c r="K620" s="30">
        <v>5</v>
      </c>
      <c r="L620" s="5">
        <v>73.3</v>
      </c>
      <c r="M620" s="31">
        <v>10</v>
      </c>
      <c r="N620" s="5" t="s">
        <v>48</v>
      </c>
      <c r="O620" s="5">
        <v>17100</v>
      </c>
      <c r="P620" s="5"/>
      <c r="Q620" s="5"/>
      <c r="R620" s="5">
        <v>3</v>
      </c>
      <c r="S620" s="5">
        <v>630</v>
      </c>
      <c r="T620" s="5"/>
      <c r="U620" s="5">
        <v>660</v>
      </c>
      <c r="V620" s="5">
        <v>0.99</v>
      </c>
      <c r="W620" s="5" t="s">
        <v>99</v>
      </c>
      <c r="X620" s="5">
        <v>38</v>
      </c>
      <c r="Y620" s="5">
        <v>285</v>
      </c>
      <c r="Z620" s="5">
        <v>32.700000000000003</v>
      </c>
      <c r="AA620" s="5" t="s">
        <v>68</v>
      </c>
      <c r="AB620" s="5"/>
      <c r="AC620" s="5"/>
      <c r="AD620" s="5"/>
      <c r="AE620" s="5"/>
      <c r="AF620" s="5" t="s">
        <v>68</v>
      </c>
      <c r="AG620" s="5"/>
      <c r="AH620" s="5"/>
      <c r="AI620" s="5"/>
      <c r="AJ620" s="5"/>
      <c r="AK620" s="5"/>
      <c r="AL620" s="5"/>
      <c r="AM620" s="5"/>
      <c r="AN620" s="5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</row>
    <row r="621" spans="1:240" ht="30" customHeight="1">
      <c r="A621" s="5">
        <v>619</v>
      </c>
      <c r="B621" s="5" t="s">
        <v>68</v>
      </c>
      <c r="C621" s="5"/>
      <c r="D621" s="5"/>
      <c r="E621" s="5">
        <v>2440</v>
      </c>
      <c r="F621" s="5">
        <v>2080</v>
      </c>
      <c r="G621" s="5">
        <v>1820</v>
      </c>
      <c r="H621" s="5">
        <v>818</v>
      </c>
      <c r="I621" s="5" t="s">
        <v>13</v>
      </c>
      <c r="J621" s="24">
        <v>16.993865181825136</v>
      </c>
      <c r="K621" s="30">
        <v>5</v>
      </c>
      <c r="L621" s="5">
        <v>98</v>
      </c>
      <c r="M621" s="31">
        <v>10</v>
      </c>
      <c r="N621" s="5" t="s">
        <v>48</v>
      </c>
      <c r="O621" s="5">
        <v>22800</v>
      </c>
      <c r="P621" s="5"/>
      <c r="Q621" s="5"/>
      <c r="R621" s="5">
        <v>4</v>
      </c>
      <c r="S621" s="5">
        <v>630</v>
      </c>
      <c r="T621" s="5"/>
      <c r="U621" s="5">
        <v>660</v>
      </c>
      <c r="V621" s="5">
        <v>1.32</v>
      </c>
      <c r="W621" s="5" t="s">
        <v>99</v>
      </c>
      <c r="X621" s="5">
        <v>39</v>
      </c>
      <c r="Y621" s="5">
        <v>387</v>
      </c>
      <c r="Z621" s="5">
        <v>44.2</v>
      </c>
      <c r="AA621" s="5" t="s">
        <v>68</v>
      </c>
      <c r="AB621" s="5"/>
      <c r="AC621" s="5"/>
      <c r="AD621" s="5"/>
      <c r="AE621" s="5"/>
      <c r="AF621" s="5" t="s">
        <v>68</v>
      </c>
      <c r="AG621" s="5"/>
      <c r="AH621" s="5"/>
      <c r="AI621" s="5"/>
      <c r="AJ621" s="5"/>
      <c r="AK621" s="5"/>
      <c r="AL621" s="5"/>
      <c r="AM621" s="5"/>
      <c r="AN621" s="5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</row>
    <row r="622" spans="1:240" ht="30" customHeight="1">
      <c r="A622" s="5">
        <v>620</v>
      </c>
      <c r="B622" s="5" t="s">
        <v>68</v>
      </c>
      <c r="C622" s="5"/>
      <c r="D622" s="5"/>
      <c r="E622" s="5">
        <v>3230</v>
      </c>
      <c r="F622" s="5">
        <v>2080</v>
      </c>
      <c r="G622" s="5">
        <v>1820</v>
      </c>
      <c r="H622" s="5">
        <v>860</v>
      </c>
      <c r="I622" s="5" t="s">
        <v>13</v>
      </c>
      <c r="J622" s="24">
        <v>17.687492332103712</v>
      </c>
      <c r="K622" s="30">
        <v>5</v>
      </c>
      <c r="L622" s="5">
        <v>102</v>
      </c>
      <c r="M622" s="31">
        <v>10</v>
      </c>
      <c r="N622" s="5" t="s">
        <v>48</v>
      </c>
      <c r="O622" s="5">
        <v>21580</v>
      </c>
      <c r="P622" s="5"/>
      <c r="Q622" s="5"/>
      <c r="R622" s="5">
        <v>4</v>
      </c>
      <c r="S622" s="5">
        <v>630</v>
      </c>
      <c r="T622" s="5"/>
      <c r="U622" s="5">
        <v>660</v>
      </c>
      <c r="V622" s="5">
        <v>1.32</v>
      </c>
      <c r="W622" s="5" t="s">
        <v>99</v>
      </c>
      <c r="X622" s="5">
        <v>39</v>
      </c>
      <c r="Y622" s="5">
        <v>517</v>
      </c>
      <c r="Z622" s="5">
        <v>59</v>
      </c>
      <c r="AA622" s="5" t="s">
        <v>68</v>
      </c>
      <c r="AB622" s="5"/>
      <c r="AC622" s="5"/>
      <c r="AD622" s="5"/>
      <c r="AE622" s="5"/>
      <c r="AF622" s="5" t="s">
        <v>68</v>
      </c>
      <c r="AG622" s="5"/>
      <c r="AH622" s="5"/>
      <c r="AI622" s="5"/>
      <c r="AJ622" s="5"/>
      <c r="AK622" s="5"/>
      <c r="AL622" s="5"/>
      <c r="AM622" s="5"/>
      <c r="AN622" s="5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</row>
    <row r="623" spans="1:240" ht="30" customHeight="1">
      <c r="A623" s="5">
        <v>621</v>
      </c>
      <c r="B623" s="5" t="s">
        <v>68</v>
      </c>
      <c r="C623" s="5"/>
      <c r="D623" s="5"/>
      <c r="E623" s="5">
        <v>4010</v>
      </c>
      <c r="F623" s="5">
        <v>2080</v>
      </c>
      <c r="G623" s="5">
        <v>1820</v>
      </c>
      <c r="H623" s="5">
        <v>993</v>
      </c>
      <c r="I623" s="5" t="s">
        <v>13</v>
      </c>
      <c r="J623" s="24">
        <v>21.329034871066238</v>
      </c>
      <c r="K623" s="30">
        <v>5</v>
      </c>
      <c r="L623" s="5">
        <v>123</v>
      </c>
      <c r="M623" s="31">
        <v>10</v>
      </c>
      <c r="N623" s="5" t="s">
        <v>48</v>
      </c>
      <c r="O623" s="5">
        <v>28490</v>
      </c>
      <c r="P623" s="5"/>
      <c r="Q623" s="5"/>
      <c r="R623" s="5">
        <v>5</v>
      </c>
      <c r="S623" s="5">
        <v>630</v>
      </c>
      <c r="T623" s="5"/>
      <c r="U623" s="5">
        <v>660</v>
      </c>
      <c r="V623" s="5">
        <v>1.65</v>
      </c>
      <c r="W623" s="5" t="s">
        <v>99</v>
      </c>
      <c r="X623" s="5">
        <v>40</v>
      </c>
      <c r="Y623" s="5">
        <v>490</v>
      </c>
      <c r="Z623" s="5">
        <v>55.7</v>
      </c>
      <c r="AA623" s="5" t="s">
        <v>68</v>
      </c>
      <c r="AB623" s="5"/>
      <c r="AC623" s="5"/>
      <c r="AD623" s="5"/>
      <c r="AE623" s="5"/>
      <c r="AF623" s="5" t="s">
        <v>68</v>
      </c>
      <c r="AG623" s="5"/>
      <c r="AH623" s="5"/>
      <c r="AI623" s="5"/>
      <c r="AJ623" s="5"/>
      <c r="AK623" s="5"/>
      <c r="AL623" s="5"/>
      <c r="AM623" s="5"/>
      <c r="AN623" s="5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</row>
    <row r="624" spans="1:240" ht="30" customHeight="1">
      <c r="A624" s="5">
        <v>622</v>
      </c>
      <c r="B624" s="5" t="s">
        <v>68</v>
      </c>
      <c r="C624" s="5"/>
      <c r="D624" s="5"/>
      <c r="E624" s="5">
        <v>4010</v>
      </c>
      <c r="F624" s="5">
        <v>2080</v>
      </c>
      <c r="G624" s="5">
        <v>1820</v>
      </c>
      <c r="H624" s="5">
        <v>1032</v>
      </c>
      <c r="I624" s="5" t="s">
        <v>13</v>
      </c>
      <c r="J624" s="24">
        <v>22.022662021344814</v>
      </c>
      <c r="K624" s="30">
        <v>5</v>
      </c>
      <c r="L624" s="5">
        <v>127</v>
      </c>
      <c r="M624" s="31">
        <v>10</v>
      </c>
      <c r="N624" s="5" t="s">
        <v>48</v>
      </c>
      <c r="O624" s="5">
        <v>26980</v>
      </c>
      <c r="P624" s="5"/>
      <c r="Q624" s="5"/>
      <c r="R624" s="5">
        <v>5</v>
      </c>
      <c r="S624" s="5">
        <v>630</v>
      </c>
      <c r="T624" s="5"/>
      <c r="U624" s="5">
        <v>660</v>
      </c>
      <c r="V624" s="5">
        <v>1.65</v>
      </c>
      <c r="W624" s="5" t="s">
        <v>99</v>
      </c>
      <c r="X624" s="5">
        <v>40</v>
      </c>
      <c r="Y624" s="5">
        <v>654</v>
      </c>
      <c r="Z624" s="5">
        <v>74.400000000000006</v>
      </c>
      <c r="AA624" s="5" t="s">
        <v>68</v>
      </c>
      <c r="AB624" s="5"/>
      <c r="AC624" s="5"/>
      <c r="AD624" s="5"/>
      <c r="AE624" s="5"/>
      <c r="AF624" s="5" t="s">
        <v>68</v>
      </c>
      <c r="AG624" s="5"/>
      <c r="AH624" s="5"/>
      <c r="AI624" s="5"/>
      <c r="AJ624" s="5"/>
      <c r="AK624" s="5"/>
      <c r="AL624" s="5"/>
      <c r="AM624" s="5"/>
      <c r="AN624" s="5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</row>
    <row r="625" spans="1:240" ht="30" customHeight="1">
      <c r="A625" s="5">
        <v>623</v>
      </c>
      <c r="B625" s="5" t="s">
        <v>68</v>
      </c>
      <c r="C625" s="5"/>
      <c r="D625" s="5"/>
      <c r="E625" s="6">
        <v>2440</v>
      </c>
      <c r="F625" s="5">
        <v>2080</v>
      </c>
      <c r="G625" s="5">
        <v>1820</v>
      </c>
      <c r="H625" s="5">
        <v>653</v>
      </c>
      <c r="I625" s="5" t="s">
        <v>13</v>
      </c>
      <c r="J625" s="24">
        <v>8.1327783370163136</v>
      </c>
      <c r="K625" s="30">
        <v>5</v>
      </c>
      <c r="L625" s="5">
        <v>46.9</v>
      </c>
      <c r="M625" s="31">
        <v>10</v>
      </c>
      <c r="N625" s="5" t="s">
        <v>48</v>
      </c>
      <c r="O625" s="5">
        <v>11510</v>
      </c>
      <c r="P625" s="5"/>
      <c r="Q625" s="5"/>
      <c r="R625" s="5">
        <v>3</v>
      </c>
      <c r="S625" s="5">
        <v>630</v>
      </c>
      <c r="T625" s="5"/>
      <c r="U625" s="5">
        <v>450</v>
      </c>
      <c r="V625" s="5">
        <v>0.435</v>
      </c>
      <c r="W625" s="5" t="s">
        <v>99</v>
      </c>
      <c r="X625" s="5">
        <v>28</v>
      </c>
      <c r="Y625" s="5">
        <v>190</v>
      </c>
      <c r="Z625" s="5">
        <v>21.8</v>
      </c>
      <c r="AA625" s="5" t="s">
        <v>68</v>
      </c>
      <c r="AB625" s="5"/>
      <c r="AC625" s="5"/>
      <c r="AD625" s="5"/>
      <c r="AE625" s="5"/>
      <c r="AF625" s="5" t="s">
        <v>68</v>
      </c>
      <c r="AG625" s="5"/>
      <c r="AH625" s="5"/>
      <c r="AI625" s="5"/>
      <c r="AJ625" s="5"/>
      <c r="AK625" s="5"/>
      <c r="AL625" s="5"/>
      <c r="AM625" s="5"/>
      <c r="AN625" s="5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</row>
    <row r="626" spans="1:240" ht="30" customHeight="1">
      <c r="A626" s="5">
        <v>624</v>
      </c>
      <c r="B626" s="5" t="s">
        <v>68</v>
      </c>
      <c r="C626" s="5"/>
      <c r="D626" s="5"/>
      <c r="E626" s="5">
        <v>2440</v>
      </c>
      <c r="F626" s="5">
        <v>2080</v>
      </c>
      <c r="G626" s="5">
        <v>1820</v>
      </c>
      <c r="H626" s="5">
        <v>685</v>
      </c>
      <c r="I626" s="5" t="s">
        <v>13</v>
      </c>
      <c r="J626" s="24">
        <v>8.7743834510239989</v>
      </c>
      <c r="K626" s="30">
        <v>5</v>
      </c>
      <c r="L626" s="5">
        <v>50.6</v>
      </c>
      <c r="M626" s="31">
        <v>10</v>
      </c>
      <c r="N626" s="5" t="s">
        <v>48</v>
      </c>
      <c r="O626" s="5">
        <v>10800</v>
      </c>
      <c r="P626" s="5"/>
      <c r="Q626" s="5"/>
      <c r="R626" s="5">
        <v>3</v>
      </c>
      <c r="S626" s="5">
        <v>630</v>
      </c>
      <c r="T626" s="5"/>
      <c r="U626" s="5">
        <v>450</v>
      </c>
      <c r="V626" s="5">
        <v>0.435</v>
      </c>
      <c r="W626" s="5" t="s">
        <v>99</v>
      </c>
      <c r="X626" s="5">
        <v>28</v>
      </c>
      <c r="Y626" s="5">
        <v>285</v>
      </c>
      <c r="Z626" s="5">
        <v>32.700000000000003</v>
      </c>
      <c r="AA626" s="5" t="s">
        <v>68</v>
      </c>
      <c r="AB626" s="5"/>
      <c r="AC626" s="5"/>
      <c r="AD626" s="5"/>
      <c r="AE626" s="5"/>
      <c r="AF626" s="5" t="s">
        <v>68</v>
      </c>
      <c r="AG626" s="5"/>
      <c r="AH626" s="5"/>
      <c r="AI626" s="5"/>
      <c r="AJ626" s="5"/>
      <c r="AK626" s="5"/>
      <c r="AL626" s="5"/>
      <c r="AM626" s="5"/>
      <c r="AN626" s="5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</row>
    <row r="627" spans="1:240" ht="30" customHeight="1">
      <c r="A627" s="5">
        <v>625</v>
      </c>
      <c r="B627" s="5" t="s">
        <v>68</v>
      </c>
      <c r="C627" s="5"/>
      <c r="D627" s="5"/>
      <c r="E627" s="5">
        <v>3230</v>
      </c>
      <c r="F627" s="5">
        <v>2080</v>
      </c>
      <c r="G627" s="5">
        <v>1820</v>
      </c>
      <c r="H627" s="5">
        <v>818</v>
      </c>
      <c r="I627" s="5" t="s">
        <v>13</v>
      </c>
      <c r="J627" s="24">
        <v>11.72229883970795</v>
      </c>
      <c r="K627" s="30">
        <v>5</v>
      </c>
      <c r="L627" s="5">
        <v>67.599999999999994</v>
      </c>
      <c r="M627" s="31">
        <v>10</v>
      </c>
      <c r="N627" s="5" t="s">
        <v>48</v>
      </c>
      <c r="O627" s="5">
        <v>14390</v>
      </c>
      <c r="P627" s="5"/>
      <c r="Q627" s="5"/>
      <c r="R627" s="5">
        <v>4</v>
      </c>
      <c r="S627" s="5">
        <v>630</v>
      </c>
      <c r="T627" s="5"/>
      <c r="U627" s="5">
        <v>450</v>
      </c>
      <c r="V627" s="5">
        <v>0.57999999999999996</v>
      </c>
      <c r="W627" s="5" t="s">
        <v>99</v>
      </c>
      <c r="X627" s="5">
        <v>29</v>
      </c>
      <c r="Y627" s="5">
        <v>387</v>
      </c>
      <c r="Z627" s="5">
        <v>44.2</v>
      </c>
      <c r="AA627" s="5" t="s">
        <v>68</v>
      </c>
      <c r="AB627" s="5"/>
      <c r="AC627" s="5"/>
      <c r="AD627" s="5"/>
      <c r="AE627" s="5"/>
      <c r="AF627" s="5" t="s">
        <v>68</v>
      </c>
      <c r="AG627" s="5"/>
      <c r="AH627" s="5"/>
      <c r="AI627" s="5"/>
      <c r="AJ627" s="5"/>
      <c r="AK627" s="5"/>
      <c r="AL627" s="5"/>
      <c r="AM627" s="5"/>
      <c r="AN627" s="5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</row>
    <row r="628" spans="1:240" ht="30" customHeight="1">
      <c r="A628" s="5">
        <v>626</v>
      </c>
      <c r="B628" s="5" t="s">
        <v>68</v>
      </c>
      <c r="C628" s="5"/>
      <c r="D628" s="5"/>
      <c r="E628" s="5">
        <v>4010</v>
      </c>
      <c r="F628" s="5">
        <v>2080</v>
      </c>
      <c r="G628" s="5">
        <v>1820</v>
      </c>
      <c r="H628" s="5">
        <v>993</v>
      </c>
      <c r="I628" s="5" t="s">
        <v>13</v>
      </c>
      <c r="J628" s="24">
        <v>14.670214228391899</v>
      </c>
      <c r="K628" s="30">
        <v>5</v>
      </c>
      <c r="L628" s="5">
        <v>84.6</v>
      </c>
      <c r="M628" s="31">
        <v>10</v>
      </c>
      <c r="N628" s="5" t="s">
        <v>48</v>
      </c>
      <c r="O628" s="5">
        <v>17990</v>
      </c>
      <c r="P628" s="5"/>
      <c r="Q628" s="5"/>
      <c r="R628" s="5">
        <v>5</v>
      </c>
      <c r="S628" s="5">
        <v>630</v>
      </c>
      <c r="T628" s="5"/>
      <c r="U628" s="5">
        <v>450</v>
      </c>
      <c r="V628" s="5">
        <v>0.72499999999999998</v>
      </c>
      <c r="W628" s="5" t="s">
        <v>99</v>
      </c>
      <c r="X628" s="5">
        <v>30</v>
      </c>
      <c r="Y628" s="5">
        <v>490</v>
      </c>
      <c r="Z628" s="5">
        <v>55.7</v>
      </c>
      <c r="AA628" s="5" t="s">
        <v>68</v>
      </c>
      <c r="AB628" s="5"/>
      <c r="AC628" s="5"/>
      <c r="AD628" s="5"/>
      <c r="AE628" s="5"/>
      <c r="AF628" s="5" t="s">
        <v>68</v>
      </c>
      <c r="AG628" s="5"/>
      <c r="AH628" s="5"/>
      <c r="AI628" s="5"/>
      <c r="AJ628" s="5"/>
      <c r="AK628" s="5"/>
      <c r="AL628" s="5"/>
      <c r="AM628" s="5"/>
      <c r="AN628" s="5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</row>
    <row r="629" spans="1:240" ht="30" customHeight="1">
      <c r="A629" s="5">
        <v>627</v>
      </c>
      <c r="B629" s="5" t="s">
        <v>68</v>
      </c>
      <c r="C629" s="5"/>
      <c r="D629" s="5"/>
      <c r="E629" s="5">
        <v>1240</v>
      </c>
      <c r="F629" s="5">
        <v>767</v>
      </c>
      <c r="G629" s="5">
        <v>954</v>
      </c>
      <c r="H629" s="5">
        <v>63</v>
      </c>
      <c r="I629" s="5" t="s">
        <v>13</v>
      </c>
      <c r="J629" s="24">
        <v>3.8843120415600305</v>
      </c>
      <c r="K629" s="30">
        <v>5</v>
      </c>
      <c r="L629" s="5">
        <v>22.4</v>
      </c>
      <c r="M629" s="31">
        <v>10</v>
      </c>
      <c r="N629" s="5" t="s">
        <v>48</v>
      </c>
      <c r="O629" s="5">
        <v>7230</v>
      </c>
      <c r="P629" s="5"/>
      <c r="Q629" s="5"/>
      <c r="R629" s="5">
        <v>1</v>
      </c>
      <c r="S629" s="5">
        <v>500</v>
      </c>
      <c r="T629" s="5">
        <v>1180</v>
      </c>
      <c r="U629" s="5">
        <v>1390</v>
      </c>
      <c r="V629" s="5">
        <v>0.72</v>
      </c>
      <c r="W629" s="5" t="s">
        <v>99</v>
      </c>
      <c r="X629" s="5">
        <v>50</v>
      </c>
      <c r="Y629" s="5">
        <v>25</v>
      </c>
      <c r="Z629" s="5">
        <v>3.7</v>
      </c>
      <c r="AA629" s="5" t="s">
        <v>68</v>
      </c>
      <c r="AB629" s="5"/>
      <c r="AC629" s="5"/>
      <c r="AD629" s="5"/>
      <c r="AE629" s="5"/>
      <c r="AF629" s="5" t="s">
        <v>68</v>
      </c>
      <c r="AG629" s="5"/>
      <c r="AH629" s="5"/>
      <c r="AI629" s="5"/>
      <c r="AJ629" s="5" t="s">
        <v>68</v>
      </c>
      <c r="AK629" s="5"/>
      <c r="AL629" s="5"/>
      <c r="AM629" s="5"/>
      <c r="AN629" s="5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</row>
    <row r="630" spans="1:240" ht="30" customHeight="1">
      <c r="A630" s="5">
        <v>628</v>
      </c>
      <c r="B630" s="5" t="s">
        <v>68</v>
      </c>
      <c r="C630" s="5"/>
      <c r="D630" s="5"/>
      <c r="E630" s="5">
        <v>1240</v>
      </c>
      <c r="F630" s="5">
        <v>767</v>
      </c>
      <c r="G630" s="5">
        <v>954</v>
      </c>
      <c r="H630" s="5">
        <v>68</v>
      </c>
      <c r="I630" s="5" t="s">
        <v>13</v>
      </c>
      <c r="J630" s="24">
        <v>4.5605985130816435</v>
      </c>
      <c r="K630" s="30">
        <v>5</v>
      </c>
      <c r="L630" s="5">
        <v>26.3</v>
      </c>
      <c r="M630" s="31">
        <v>10</v>
      </c>
      <c r="N630" s="5" t="s">
        <v>48</v>
      </c>
      <c r="O630" s="5">
        <v>6690</v>
      </c>
      <c r="P630" s="5"/>
      <c r="Q630" s="5"/>
      <c r="R630" s="5">
        <v>1</v>
      </c>
      <c r="S630" s="5">
        <v>500</v>
      </c>
      <c r="T630" s="5">
        <v>1180</v>
      </c>
      <c r="U630" s="5">
        <v>1390</v>
      </c>
      <c r="V630" s="5">
        <v>0.72</v>
      </c>
      <c r="W630" s="5" t="s">
        <v>99</v>
      </c>
      <c r="X630" s="5">
        <v>50</v>
      </c>
      <c r="Y630" s="5">
        <v>37</v>
      </c>
      <c r="Z630" s="5">
        <v>5.5</v>
      </c>
      <c r="AA630" s="5" t="s">
        <v>68</v>
      </c>
      <c r="AB630" s="5"/>
      <c r="AC630" s="5"/>
      <c r="AD630" s="5"/>
      <c r="AE630" s="5"/>
      <c r="AF630" s="5" t="s">
        <v>68</v>
      </c>
      <c r="AG630" s="5"/>
      <c r="AH630" s="5"/>
      <c r="AI630" s="5"/>
      <c r="AJ630" s="5" t="s">
        <v>68</v>
      </c>
      <c r="AK630" s="5"/>
      <c r="AL630" s="5"/>
      <c r="AM630" s="5"/>
      <c r="AN630" s="5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</row>
    <row r="631" spans="1:240" ht="30" customHeight="1">
      <c r="A631" s="5">
        <v>629</v>
      </c>
      <c r="B631" s="5" t="s">
        <v>68</v>
      </c>
      <c r="C631" s="5"/>
      <c r="D631" s="5"/>
      <c r="E631" s="5">
        <v>1240</v>
      </c>
      <c r="F631" s="5">
        <v>767</v>
      </c>
      <c r="G631" s="5">
        <v>954</v>
      </c>
      <c r="H631" s="5">
        <v>73</v>
      </c>
      <c r="I631" s="5" t="s">
        <v>13</v>
      </c>
      <c r="J631" s="24">
        <v>4.8900714094639666</v>
      </c>
      <c r="K631" s="30">
        <v>5</v>
      </c>
      <c r="L631" s="5">
        <v>28.2</v>
      </c>
      <c r="M631" s="31">
        <v>10</v>
      </c>
      <c r="N631" s="5" t="s">
        <v>48</v>
      </c>
      <c r="O631" s="5">
        <v>6280</v>
      </c>
      <c r="P631" s="5"/>
      <c r="Q631" s="5"/>
      <c r="R631" s="5">
        <v>1</v>
      </c>
      <c r="S631" s="5">
        <v>500</v>
      </c>
      <c r="T631" s="5">
        <v>1180</v>
      </c>
      <c r="U631" s="5">
        <v>1390</v>
      </c>
      <c r="V631" s="5">
        <v>0.72</v>
      </c>
      <c r="W631" s="5" t="s">
        <v>99</v>
      </c>
      <c r="X631" s="5">
        <v>50</v>
      </c>
      <c r="Y631" s="5">
        <v>50</v>
      </c>
      <c r="Z631" s="5">
        <v>7.3</v>
      </c>
      <c r="AA631" s="5" t="s">
        <v>68</v>
      </c>
      <c r="AB631" s="5"/>
      <c r="AC631" s="5"/>
      <c r="AD631" s="5"/>
      <c r="AE631" s="5"/>
      <c r="AF631" s="5" t="s">
        <v>68</v>
      </c>
      <c r="AG631" s="5"/>
      <c r="AH631" s="5"/>
      <c r="AI631" s="5"/>
      <c r="AJ631" s="5" t="s">
        <v>68</v>
      </c>
      <c r="AK631" s="5"/>
      <c r="AL631" s="5"/>
      <c r="AM631" s="5"/>
      <c r="AN631" s="5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</row>
    <row r="632" spans="1:240" ht="30" customHeight="1">
      <c r="A632" s="5">
        <v>630</v>
      </c>
      <c r="B632" s="5" t="s">
        <v>68</v>
      </c>
      <c r="C632" s="5"/>
      <c r="D632" s="5"/>
      <c r="E632" s="5">
        <v>2120</v>
      </c>
      <c r="F632" s="5">
        <v>767</v>
      </c>
      <c r="G632" s="5">
        <v>954</v>
      </c>
      <c r="H632" s="5">
        <v>103</v>
      </c>
      <c r="I632" s="5" t="s">
        <v>13</v>
      </c>
      <c r="J632" s="24">
        <v>7.768624083120061</v>
      </c>
      <c r="K632" s="30">
        <v>5</v>
      </c>
      <c r="L632" s="5">
        <v>44.8</v>
      </c>
      <c r="M632" s="31">
        <v>10</v>
      </c>
      <c r="N632" s="5" t="s">
        <v>48</v>
      </c>
      <c r="O632" s="5">
        <v>14460</v>
      </c>
      <c r="P632" s="5"/>
      <c r="Q632" s="5"/>
      <c r="R632" s="5">
        <v>2</v>
      </c>
      <c r="S632" s="5">
        <v>500</v>
      </c>
      <c r="T632" s="5">
        <v>1180</v>
      </c>
      <c r="U632" s="5">
        <v>1390</v>
      </c>
      <c r="V632" s="5">
        <v>1.44</v>
      </c>
      <c r="W632" s="5" t="s">
        <v>99</v>
      </c>
      <c r="X632" s="5">
        <v>53</v>
      </c>
      <c r="Y632" s="5">
        <v>50</v>
      </c>
      <c r="Z632" s="5">
        <v>7.4</v>
      </c>
      <c r="AA632" s="5" t="s">
        <v>68</v>
      </c>
      <c r="AB632" s="5"/>
      <c r="AC632" s="5"/>
      <c r="AD632" s="5"/>
      <c r="AE632" s="5"/>
      <c r="AF632" s="5" t="s">
        <v>68</v>
      </c>
      <c r="AG632" s="5"/>
      <c r="AH632" s="5"/>
      <c r="AI632" s="5"/>
      <c r="AJ632" s="5" t="s">
        <v>68</v>
      </c>
      <c r="AK632" s="5"/>
      <c r="AL632" s="5"/>
      <c r="AM632" s="5"/>
      <c r="AN632" s="5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</row>
    <row r="633" spans="1:240" ht="30" customHeight="1">
      <c r="A633" s="5">
        <v>631</v>
      </c>
      <c r="B633" s="5" t="s">
        <v>68</v>
      </c>
      <c r="C633" s="5"/>
      <c r="D633" s="5"/>
      <c r="E633" s="5">
        <v>2120</v>
      </c>
      <c r="F633" s="5">
        <v>767</v>
      </c>
      <c r="G633" s="5">
        <v>954</v>
      </c>
      <c r="H633" s="5">
        <v>111</v>
      </c>
      <c r="I633" s="5" t="s">
        <v>13</v>
      </c>
      <c r="J633" s="24">
        <v>9.1211970261632871</v>
      </c>
      <c r="K633" s="30">
        <v>5</v>
      </c>
      <c r="L633" s="5">
        <v>52.6</v>
      </c>
      <c r="M633" s="31">
        <v>10</v>
      </c>
      <c r="N633" s="5" t="s">
        <v>48</v>
      </c>
      <c r="O633" s="5">
        <v>13380</v>
      </c>
      <c r="P633" s="5"/>
      <c r="Q633" s="5"/>
      <c r="R633" s="5">
        <v>2</v>
      </c>
      <c r="S633" s="5">
        <v>500</v>
      </c>
      <c r="T633" s="5">
        <v>1180</v>
      </c>
      <c r="U633" s="5">
        <v>1390</v>
      </c>
      <c r="V633" s="5">
        <v>1.44</v>
      </c>
      <c r="W633" s="5" t="s">
        <v>99</v>
      </c>
      <c r="X633" s="5">
        <v>53</v>
      </c>
      <c r="Y633" s="5">
        <v>74</v>
      </c>
      <c r="Z633" s="5">
        <v>11</v>
      </c>
      <c r="AA633" s="5" t="s">
        <v>68</v>
      </c>
      <c r="AB633" s="5"/>
      <c r="AC633" s="5"/>
      <c r="AD633" s="5"/>
      <c r="AE633" s="5"/>
      <c r="AF633" s="5" t="s">
        <v>68</v>
      </c>
      <c r="AG633" s="5"/>
      <c r="AH633" s="5"/>
      <c r="AI633" s="5"/>
      <c r="AJ633" s="5" t="s">
        <v>68</v>
      </c>
      <c r="AK633" s="5"/>
      <c r="AL633" s="5"/>
      <c r="AM633" s="5"/>
      <c r="AN633" s="5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</row>
    <row r="634" spans="1:240" ht="30" customHeight="1">
      <c r="A634" s="5">
        <v>632</v>
      </c>
      <c r="B634" s="5" t="s">
        <v>68</v>
      </c>
      <c r="C634" s="5"/>
      <c r="D634" s="5"/>
      <c r="E634" s="5">
        <v>2120</v>
      </c>
      <c r="F634" s="5">
        <v>767</v>
      </c>
      <c r="G634" s="5">
        <v>954</v>
      </c>
      <c r="H634" s="5">
        <v>121</v>
      </c>
      <c r="I634" s="5" t="s">
        <v>13</v>
      </c>
      <c r="J634" s="24">
        <v>9.7801428189279331</v>
      </c>
      <c r="K634" s="30">
        <v>5</v>
      </c>
      <c r="L634" s="5">
        <v>56.4</v>
      </c>
      <c r="M634" s="31">
        <v>10</v>
      </c>
      <c r="N634" s="5" t="s">
        <v>48</v>
      </c>
      <c r="O634" s="5">
        <v>12560</v>
      </c>
      <c r="P634" s="5"/>
      <c r="Q634" s="5"/>
      <c r="R634" s="5">
        <v>2</v>
      </c>
      <c r="S634" s="5">
        <v>500</v>
      </c>
      <c r="T634" s="5">
        <v>1180</v>
      </c>
      <c r="U634" s="5">
        <v>1390</v>
      </c>
      <c r="V634" s="5">
        <v>1.44</v>
      </c>
      <c r="W634" s="5" t="s">
        <v>99</v>
      </c>
      <c r="X634" s="5">
        <v>53</v>
      </c>
      <c r="Y634" s="5">
        <v>99</v>
      </c>
      <c r="Z634" s="5">
        <v>14.6</v>
      </c>
      <c r="AA634" s="5" t="s">
        <v>68</v>
      </c>
      <c r="AB634" s="5"/>
      <c r="AC634" s="5"/>
      <c r="AD634" s="5"/>
      <c r="AE634" s="5"/>
      <c r="AF634" s="5" t="s">
        <v>68</v>
      </c>
      <c r="AG634" s="5"/>
      <c r="AH634" s="5"/>
      <c r="AI634" s="5"/>
      <c r="AJ634" s="5" t="s">
        <v>68</v>
      </c>
      <c r="AK634" s="5"/>
      <c r="AL634" s="5"/>
      <c r="AM634" s="5"/>
      <c r="AN634" s="5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</row>
    <row r="635" spans="1:240" ht="30" customHeight="1">
      <c r="A635" s="5">
        <v>633</v>
      </c>
      <c r="B635" s="5" t="s">
        <v>68</v>
      </c>
      <c r="C635" s="5"/>
      <c r="D635" s="5"/>
      <c r="E635" s="5">
        <v>3000</v>
      </c>
      <c r="F635" s="5">
        <v>767</v>
      </c>
      <c r="G635" s="5">
        <v>954</v>
      </c>
      <c r="H635" s="5">
        <v>141</v>
      </c>
      <c r="I635" s="5" t="s">
        <v>13</v>
      </c>
      <c r="J635" s="24">
        <v>11.652936124680091</v>
      </c>
      <c r="K635" s="30">
        <v>5</v>
      </c>
      <c r="L635" s="5">
        <v>67.2</v>
      </c>
      <c r="M635" s="31">
        <v>10</v>
      </c>
      <c r="N635" s="5" t="s">
        <v>48</v>
      </c>
      <c r="O635" s="5">
        <v>21690</v>
      </c>
      <c r="P635" s="5"/>
      <c r="Q635" s="5"/>
      <c r="R635" s="5">
        <v>3</v>
      </c>
      <c r="S635" s="5">
        <v>500</v>
      </c>
      <c r="T635" s="5">
        <v>1180</v>
      </c>
      <c r="U635" s="5">
        <v>1390</v>
      </c>
      <c r="V635" s="5">
        <v>2.16</v>
      </c>
      <c r="W635" s="5" t="s">
        <v>99</v>
      </c>
      <c r="X635" s="5">
        <v>54</v>
      </c>
      <c r="Y635" s="5">
        <v>74</v>
      </c>
      <c r="Z635" s="5">
        <v>11.1</v>
      </c>
      <c r="AA635" s="5" t="s">
        <v>68</v>
      </c>
      <c r="AB635" s="5"/>
      <c r="AC635" s="5"/>
      <c r="AD635" s="5"/>
      <c r="AE635" s="5"/>
      <c r="AF635" s="5" t="s">
        <v>68</v>
      </c>
      <c r="AG635" s="5"/>
      <c r="AH635" s="5"/>
      <c r="AI635" s="5"/>
      <c r="AJ635" s="5" t="s">
        <v>68</v>
      </c>
      <c r="AK635" s="5"/>
      <c r="AL635" s="5"/>
      <c r="AM635" s="5"/>
      <c r="AN635" s="5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</row>
    <row r="636" spans="1:240" ht="30" customHeight="1">
      <c r="A636" s="5">
        <v>634</v>
      </c>
      <c r="B636" s="5" t="s">
        <v>68</v>
      </c>
      <c r="C636" s="5"/>
      <c r="D636" s="5"/>
      <c r="E636" s="5">
        <v>3000</v>
      </c>
      <c r="F636" s="5">
        <v>767</v>
      </c>
      <c r="G636" s="5">
        <v>954</v>
      </c>
      <c r="H636" s="5">
        <v>155</v>
      </c>
      <c r="I636" s="5" t="s">
        <v>13</v>
      </c>
      <c r="J636" s="24">
        <v>13.681795539244931</v>
      </c>
      <c r="K636" s="30">
        <v>5</v>
      </c>
      <c r="L636" s="5">
        <v>78.900000000000006</v>
      </c>
      <c r="M636" s="31">
        <v>10</v>
      </c>
      <c r="N636" s="5" t="s">
        <v>48</v>
      </c>
      <c r="O636" s="5">
        <v>20070</v>
      </c>
      <c r="P636" s="5"/>
      <c r="Q636" s="5"/>
      <c r="R636" s="5">
        <v>3</v>
      </c>
      <c r="S636" s="5">
        <v>500</v>
      </c>
      <c r="T636" s="5">
        <v>1180</v>
      </c>
      <c r="U636" s="5">
        <v>1390</v>
      </c>
      <c r="V636" s="5">
        <v>2.16</v>
      </c>
      <c r="W636" s="5" t="s">
        <v>99</v>
      </c>
      <c r="X636" s="5">
        <v>54</v>
      </c>
      <c r="Y636" s="5">
        <v>111</v>
      </c>
      <c r="Z636" s="5">
        <v>16.5</v>
      </c>
      <c r="AA636" s="5" t="s">
        <v>68</v>
      </c>
      <c r="AB636" s="5"/>
      <c r="AC636" s="5"/>
      <c r="AD636" s="5"/>
      <c r="AE636" s="5"/>
      <c r="AF636" s="5" t="s">
        <v>68</v>
      </c>
      <c r="AG636" s="5"/>
      <c r="AH636" s="5"/>
      <c r="AI636" s="5"/>
      <c r="AJ636" s="5" t="s">
        <v>68</v>
      </c>
      <c r="AK636" s="5"/>
      <c r="AL636" s="5"/>
      <c r="AM636" s="5"/>
      <c r="AN636" s="5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</row>
    <row r="637" spans="1:240" ht="30" customHeight="1">
      <c r="A637" s="5">
        <v>635</v>
      </c>
      <c r="B637" s="5" t="s">
        <v>68</v>
      </c>
      <c r="C637" s="5"/>
      <c r="D637" s="5"/>
      <c r="E637" s="5">
        <v>3000</v>
      </c>
      <c r="F637" s="5">
        <v>767</v>
      </c>
      <c r="G637" s="5">
        <v>954</v>
      </c>
      <c r="H637" s="5">
        <v>168</v>
      </c>
      <c r="I637" s="5" t="s">
        <v>13</v>
      </c>
      <c r="J637" s="24">
        <v>14.670214228391899</v>
      </c>
      <c r="K637" s="30">
        <v>5</v>
      </c>
      <c r="L637" s="5">
        <v>84.6</v>
      </c>
      <c r="M637" s="31">
        <v>10</v>
      </c>
      <c r="N637" s="5" t="s">
        <v>48</v>
      </c>
      <c r="O637" s="5">
        <v>18840</v>
      </c>
      <c r="P637" s="5"/>
      <c r="Q637" s="5"/>
      <c r="R637" s="5">
        <v>3</v>
      </c>
      <c r="S637" s="5">
        <v>500</v>
      </c>
      <c r="T637" s="5">
        <v>1180</v>
      </c>
      <c r="U637" s="5">
        <v>1390</v>
      </c>
      <c r="V637" s="5">
        <v>2.16</v>
      </c>
      <c r="W637" s="5" t="s">
        <v>99</v>
      </c>
      <c r="X637" s="5">
        <v>54</v>
      </c>
      <c r="Y637" s="5">
        <v>149</v>
      </c>
      <c r="Z637" s="5">
        <v>21.9</v>
      </c>
      <c r="AA637" s="5" t="s">
        <v>68</v>
      </c>
      <c r="AB637" s="5"/>
      <c r="AC637" s="5"/>
      <c r="AD637" s="5"/>
      <c r="AE637" s="5"/>
      <c r="AF637" s="5" t="s">
        <v>68</v>
      </c>
      <c r="AG637" s="5"/>
      <c r="AH637" s="5"/>
      <c r="AI637" s="5"/>
      <c r="AJ637" s="5" t="s">
        <v>68</v>
      </c>
      <c r="AK637" s="5"/>
      <c r="AL637" s="5"/>
      <c r="AM637" s="5"/>
      <c r="AN637" s="5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</row>
    <row r="638" spans="1:240" ht="30" customHeight="1">
      <c r="A638" s="5">
        <v>636</v>
      </c>
      <c r="B638" s="5" t="s">
        <v>68</v>
      </c>
      <c r="C638" s="5"/>
      <c r="D638" s="5"/>
      <c r="E638" s="5">
        <v>2120</v>
      </c>
      <c r="F638" s="5">
        <v>1517</v>
      </c>
      <c r="G638" s="5">
        <v>954</v>
      </c>
      <c r="H638" s="5">
        <v>187</v>
      </c>
      <c r="I638" s="5" t="s">
        <v>13</v>
      </c>
      <c r="J638" s="24">
        <v>15.537248166240122</v>
      </c>
      <c r="K638" s="30">
        <v>5</v>
      </c>
      <c r="L638" s="5">
        <v>89.6</v>
      </c>
      <c r="M638" s="31">
        <v>10</v>
      </c>
      <c r="N638" s="5" t="s">
        <v>48</v>
      </c>
      <c r="O638" s="5">
        <v>28920</v>
      </c>
      <c r="P638" s="5"/>
      <c r="Q638" s="5"/>
      <c r="R638" s="5">
        <v>4</v>
      </c>
      <c r="S638" s="5">
        <v>500</v>
      </c>
      <c r="T638" s="5">
        <v>1180</v>
      </c>
      <c r="U638" s="5">
        <v>1390</v>
      </c>
      <c r="V638" s="5">
        <v>2.88</v>
      </c>
      <c r="W638" s="5" t="s">
        <v>99</v>
      </c>
      <c r="X638" s="5">
        <v>56</v>
      </c>
      <c r="Y638" s="5">
        <v>99</v>
      </c>
      <c r="Z638" s="5">
        <v>14.8</v>
      </c>
      <c r="AA638" s="5" t="s">
        <v>68</v>
      </c>
      <c r="AB638" s="5"/>
      <c r="AC638" s="5"/>
      <c r="AD638" s="5"/>
      <c r="AE638" s="5"/>
      <c r="AF638" s="5" t="s">
        <v>68</v>
      </c>
      <c r="AG638" s="5"/>
      <c r="AH638" s="5"/>
      <c r="AI638" s="5"/>
      <c r="AJ638" s="5" t="s">
        <v>68</v>
      </c>
      <c r="AK638" s="5"/>
      <c r="AL638" s="5"/>
      <c r="AM638" s="5"/>
      <c r="AN638" s="5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</row>
    <row r="639" spans="1:240" ht="30" customHeight="1">
      <c r="A639" s="5">
        <v>637</v>
      </c>
      <c r="B639" s="5" t="s">
        <v>68</v>
      </c>
      <c r="C639" s="5"/>
      <c r="D639" s="5"/>
      <c r="E639" s="5">
        <v>2120</v>
      </c>
      <c r="F639" s="5">
        <v>1517</v>
      </c>
      <c r="G639" s="5">
        <v>954</v>
      </c>
      <c r="H639" s="5">
        <v>208</v>
      </c>
      <c r="I639" s="5" t="s">
        <v>13</v>
      </c>
      <c r="J639" s="24">
        <v>18.207712694812642</v>
      </c>
      <c r="K639" s="30">
        <v>5</v>
      </c>
      <c r="L639" s="5">
        <v>105</v>
      </c>
      <c r="M639" s="31">
        <v>10</v>
      </c>
      <c r="N639" s="5" t="s">
        <v>48</v>
      </c>
      <c r="O639" s="5">
        <v>26760</v>
      </c>
      <c r="P639" s="5"/>
      <c r="Q639" s="5"/>
      <c r="R639" s="5">
        <v>4</v>
      </c>
      <c r="S639" s="5">
        <v>500</v>
      </c>
      <c r="T639" s="5">
        <v>1180</v>
      </c>
      <c r="U639" s="5">
        <v>1390</v>
      </c>
      <c r="V639" s="5">
        <v>2.88</v>
      </c>
      <c r="W639" s="5" t="s">
        <v>99</v>
      </c>
      <c r="X639" s="5">
        <v>56</v>
      </c>
      <c r="Y639" s="5">
        <v>149</v>
      </c>
      <c r="Z639" s="5">
        <v>22</v>
      </c>
      <c r="AA639" s="5" t="s">
        <v>68</v>
      </c>
      <c r="AB639" s="5"/>
      <c r="AC639" s="5"/>
      <c r="AD639" s="5"/>
      <c r="AE639" s="5"/>
      <c r="AF639" s="5" t="s">
        <v>68</v>
      </c>
      <c r="AG639" s="5"/>
      <c r="AH639" s="5"/>
      <c r="AI639" s="5"/>
      <c r="AJ639" s="5" t="s">
        <v>68</v>
      </c>
      <c r="AK639" s="5"/>
      <c r="AL639" s="5"/>
      <c r="AM639" s="5"/>
      <c r="AN639" s="5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</row>
    <row r="640" spans="1:240" ht="30" customHeight="1">
      <c r="A640" s="5">
        <v>638</v>
      </c>
      <c r="B640" s="5" t="s">
        <v>68</v>
      </c>
      <c r="C640" s="5"/>
      <c r="D640" s="5"/>
      <c r="E640" s="5">
        <v>2120</v>
      </c>
      <c r="F640" s="5">
        <v>1517</v>
      </c>
      <c r="G640" s="5">
        <v>954</v>
      </c>
      <c r="H640" s="5">
        <v>227</v>
      </c>
      <c r="I640" s="5" t="s">
        <v>13</v>
      </c>
      <c r="J640" s="24">
        <v>19.594966995369795</v>
      </c>
      <c r="K640" s="30">
        <v>5</v>
      </c>
      <c r="L640" s="5">
        <v>113</v>
      </c>
      <c r="M640" s="31">
        <v>10</v>
      </c>
      <c r="N640" s="5" t="s">
        <v>48</v>
      </c>
      <c r="O640" s="5">
        <v>25120</v>
      </c>
      <c r="P640" s="5"/>
      <c r="Q640" s="5"/>
      <c r="R640" s="5">
        <v>4</v>
      </c>
      <c r="S640" s="5">
        <v>500</v>
      </c>
      <c r="T640" s="5">
        <v>1180</v>
      </c>
      <c r="U640" s="5">
        <v>1390</v>
      </c>
      <c r="V640" s="5">
        <v>2.88</v>
      </c>
      <c r="W640" s="5" t="s">
        <v>99</v>
      </c>
      <c r="X640" s="5">
        <v>56</v>
      </c>
      <c r="Y640" s="5">
        <v>198</v>
      </c>
      <c r="Z640" s="5">
        <v>29.2</v>
      </c>
      <c r="AA640" s="5" t="s">
        <v>68</v>
      </c>
      <c r="AB640" s="5"/>
      <c r="AC640" s="5"/>
      <c r="AD640" s="5"/>
      <c r="AE640" s="5"/>
      <c r="AF640" s="5" t="s">
        <v>68</v>
      </c>
      <c r="AG640" s="5"/>
      <c r="AH640" s="5"/>
      <c r="AI640" s="5"/>
      <c r="AJ640" s="5" t="s">
        <v>68</v>
      </c>
      <c r="AK640" s="5"/>
      <c r="AL640" s="5"/>
      <c r="AM640" s="5"/>
      <c r="AN640" s="5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</row>
    <row r="641" spans="1:240" ht="30" customHeight="1">
      <c r="A641" s="5">
        <v>639</v>
      </c>
      <c r="B641" s="5" t="s">
        <v>68</v>
      </c>
      <c r="C641" s="5"/>
      <c r="D641" s="5"/>
      <c r="E641" s="5">
        <v>3000</v>
      </c>
      <c r="F641" s="5">
        <v>1517</v>
      </c>
      <c r="G641" s="5">
        <v>954</v>
      </c>
      <c r="H641" s="5">
        <v>265</v>
      </c>
      <c r="I641" s="5" t="s">
        <v>13</v>
      </c>
      <c r="J641" s="24">
        <v>23.236509534332324</v>
      </c>
      <c r="K641" s="30">
        <v>5</v>
      </c>
      <c r="L641" s="5">
        <v>134</v>
      </c>
      <c r="M641" s="31">
        <v>10</v>
      </c>
      <c r="N641" s="5" t="s">
        <v>48</v>
      </c>
      <c r="O641" s="5">
        <v>43380</v>
      </c>
      <c r="P641" s="5"/>
      <c r="Q641" s="5"/>
      <c r="R641" s="5">
        <v>6</v>
      </c>
      <c r="S641" s="5">
        <v>500</v>
      </c>
      <c r="T641" s="5">
        <v>1180</v>
      </c>
      <c r="U641" s="5">
        <v>1390</v>
      </c>
      <c r="V641" s="5">
        <v>4.32</v>
      </c>
      <c r="W641" s="5" t="s">
        <v>99</v>
      </c>
      <c r="X641" s="5">
        <v>57</v>
      </c>
      <c r="Y641" s="5">
        <v>149</v>
      </c>
      <c r="Z641" s="5">
        <v>22.2</v>
      </c>
      <c r="AA641" s="5" t="s">
        <v>68</v>
      </c>
      <c r="AB641" s="5"/>
      <c r="AC641" s="5"/>
      <c r="AD641" s="5"/>
      <c r="AE641" s="5"/>
      <c r="AF641" s="5" t="s">
        <v>68</v>
      </c>
      <c r="AG641" s="5"/>
      <c r="AH641" s="5"/>
      <c r="AI641" s="5"/>
      <c r="AJ641" s="5" t="s">
        <v>68</v>
      </c>
      <c r="AK641" s="5"/>
      <c r="AL641" s="5"/>
      <c r="AM641" s="5"/>
      <c r="AN641" s="5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</row>
    <row r="642" spans="1:240" ht="30" customHeight="1">
      <c r="A642" s="5">
        <v>640</v>
      </c>
      <c r="B642" s="5" t="s">
        <v>68</v>
      </c>
      <c r="C642" s="5"/>
      <c r="D642" s="5"/>
      <c r="E642" s="5">
        <v>3000</v>
      </c>
      <c r="F642" s="5">
        <v>1517</v>
      </c>
      <c r="G642" s="5">
        <v>954</v>
      </c>
      <c r="H642" s="5">
        <v>293</v>
      </c>
      <c r="I642" s="5" t="s">
        <v>13</v>
      </c>
      <c r="J642" s="24">
        <v>27.398272436003786</v>
      </c>
      <c r="K642" s="30">
        <v>5</v>
      </c>
      <c r="L642" s="5">
        <v>158</v>
      </c>
      <c r="M642" s="31">
        <v>10</v>
      </c>
      <c r="N642" s="5" t="s">
        <v>48</v>
      </c>
      <c r="O642" s="5">
        <v>40140</v>
      </c>
      <c r="P642" s="5"/>
      <c r="Q642" s="5"/>
      <c r="R642" s="5">
        <v>6</v>
      </c>
      <c r="S642" s="5">
        <v>500</v>
      </c>
      <c r="T642" s="5">
        <v>1180</v>
      </c>
      <c r="U642" s="5">
        <v>1390</v>
      </c>
      <c r="V642" s="5">
        <v>4.32</v>
      </c>
      <c r="W642" s="5" t="s">
        <v>99</v>
      </c>
      <c r="X642" s="5">
        <v>57</v>
      </c>
      <c r="Y642" s="5">
        <v>223</v>
      </c>
      <c r="Z642" s="5">
        <v>33</v>
      </c>
      <c r="AA642" s="5" t="s">
        <v>68</v>
      </c>
      <c r="AB642" s="5"/>
      <c r="AC642" s="5"/>
      <c r="AD642" s="5"/>
      <c r="AE642" s="5"/>
      <c r="AF642" s="5" t="s">
        <v>68</v>
      </c>
      <c r="AG642" s="5"/>
      <c r="AH642" s="5"/>
      <c r="AI642" s="5"/>
      <c r="AJ642" s="5" t="s">
        <v>68</v>
      </c>
      <c r="AK642" s="5"/>
      <c r="AL642" s="5"/>
      <c r="AM642" s="5"/>
      <c r="AN642" s="5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</row>
    <row r="643" spans="1:240" ht="30" customHeight="1">
      <c r="A643" s="5">
        <v>641</v>
      </c>
      <c r="B643" s="5" t="s">
        <v>68</v>
      </c>
      <c r="C643" s="5"/>
      <c r="D643" s="5"/>
      <c r="E643" s="5">
        <v>3000</v>
      </c>
      <c r="F643" s="5">
        <v>1517</v>
      </c>
      <c r="G643" s="5">
        <v>954</v>
      </c>
      <c r="H643" s="5">
        <v>320</v>
      </c>
      <c r="I643" s="5" t="s">
        <v>13</v>
      </c>
      <c r="J643" s="24">
        <v>29.305747099269876</v>
      </c>
      <c r="K643" s="30">
        <v>5</v>
      </c>
      <c r="L643" s="5">
        <v>169</v>
      </c>
      <c r="M643" s="31">
        <v>10</v>
      </c>
      <c r="N643" s="5" t="s">
        <v>48</v>
      </c>
      <c r="O643" s="5">
        <v>37680</v>
      </c>
      <c r="P643" s="5"/>
      <c r="Q643" s="5"/>
      <c r="R643" s="5">
        <v>6</v>
      </c>
      <c r="S643" s="5">
        <v>500</v>
      </c>
      <c r="T643" s="5">
        <v>1180</v>
      </c>
      <c r="U643" s="5">
        <v>1390</v>
      </c>
      <c r="V643" s="5">
        <v>4.32</v>
      </c>
      <c r="W643" s="5" t="s">
        <v>99</v>
      </c>
      <c r="X643" s="5">
        <v>57</v>
      </c>
      <c r="Y643" s="5">
        <v>297</v>
      </c>
      <c r="Z643" s="5">
        <v>43.8</v>
      </c>
      <c r="AA643" s="5" t="s">
        <v>68</v>
      </c>
      <c r="AB643" s="5"/>
      <c r="AC643" s="5"/>
      <c r="AD643" s="5"/>
      <c r="AE643" s="5"/>
      <c r="AF643" s="5" t="s">
        <v>68</v>
      </c>
      <c r="AG643" s="5"/>
      <c r="AH643" s="5"/>
      <c r="AI643" s="5"/>
      <c r="AJ643" s="5" t="s">
        <v>68</v>
      </c>
      <c r="AK643" s="5"/>
      <c r="AL643" s="5"/>
      <c r="AM643" s="5"/>
      <c r="AN643" s="5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</row>
    <row r="644" spans="1:240" ht="30" customHeight="1">
      <c r="A644" s="5">
        <v>642</v>
      </c>
      <c r="B644" s="5" t="s">
        <v>68</v>
      </c>
      <c r="C644" s="5"/>
      <c r="D644" s="5"/>
      <c r="E644" s="5">
        <v>1240</v>
      </c>
      <c r="F644" s="5">
        <v>767</v>
      </c>
      <c r="G644" s="5">
        <v>954</v>
      </c>
      <c r="H644" s="5">
        <v>61</v>
      </c>
      <c r="I644" s="5" t="s">
        <v>13</v>
      </c>
      <c r="J644" s="24">
        <v>3.1039814974966315</v>
      </c>
      <c r="K644" s="30">
        <v>5</v>
      </c>
      <c r="L644" s="5">
        <v>17.899999999999999</v>
      </c>
      <c r="M644" s="31">
        <v>10</v>
      </c>
      <c r="N644" s="5" t="s">
        <v>48</v>
      </c>
      <c r="O644" s="5">
        <v>4970</v>
      </c>
      <c r="P644" s="5"/>
      <c r="Q644" s="5"/>
      <c r="R644" s="5">
        <v>1</v>
      </c>
      <c r="S644" s="5">
        <v>500</v>
      </c>
      <c r="T644" s="5">
        <v>800</v>
      </c>
      <c r="U644" s="5">
        <v>930</v>
      </c>
      <c r="V644" s="5">
        <v>0.27</v>
      </c>
      <c r="W644" s="5" t="s">
        <v>99</v>
      </c>
      <c r="X644" s="5">
        <v>37</v>
      </c>
      <c r="Y644" s="5">
        <v>25</v>
      </c>
      <c r="Z644" s="5">
        <v>3.7</v>
      </c>
      <c r="AA644" s="5" t="s">
        <v>68</v>
      </c>
      <c r="AB644" s="5"/>
      <c r="AC644" s="5"/>
      <c r="AD644" s="5"/>
      <c r="AE644" s="5"/>
      <c r="AF644" s="5" t="s">
        <v>68</v>
      </c>
      <c r="AG644" s="5"/>
      <c r="AH644" s="5"/>
      <c r="AI644" s="5"/>
      <c r="AJ644" s="5" t="s">
        <v>68</v>
      </c>
      <c r="AK644" s="5"/>
      <c r="AL644" s="5"/>
      <c r="AM644" s="5"/>
      <c r="AN644" s="5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</row>
    <row r="645" spans="1:240" ht="30" customHeight="1">
      <c r="A645" s="5">
        <v>643</v>
      </c>
      <c r="B645" s="5" t="s">
        <v>68</v>
      </c>
      <c r="C645" s="5"/>
      <c r="D645" s="5"/>
      <c r="E645" s="5">
        <v>1240</v>
      </c>
      <c r="F645" s="5">
        <v>767</v>
      </c>
      <c r="G645" s="5">
        <v>954</v>
      </c>
      <c r="H645" s="5">
        <v>66</v>
      </c>
      <c r="I645" s="5" t="s">
        <v>13</v>
      </c>
      <c r="J645" s="24">
        <v>3.4507950726359198</v>
      </c>
      <c r="K645" s="30">
        <v>5</v>
      </c>
      <c r="L645" s="5">
        <v>19.899999999999999</v>
      </c>
      <c r="M645" s="31">
        <v>10</v>
      </c>
      <c r="N645" s="5" t="s">
        <v>48</v>
      </c>
      <c r="O645" s="5">
        <v>4500</v>
      </c>
      <c r="P645" s="5"/>
      <c r="Q645" s="5"/>
      <c r="R645" s="5">
        <v>1</v>
      </c>
      <c r="S645" s="5">
        <v>500</v>
      </c>
      <c r="T645" s="5">
        <v>800</v>
      </c>
      <c r="U645" s="5">
        <v>930</v>
      </c>
      <c r="V645" s="5">
        <v>0.27</v>
      </c>
      <c r="W645" s="5" t="s">
        <v>99</v>
      </c>
      <c r="X645" s="5">
        <v>37</v>
      </c>
      <c r="Y645" s="5">
        <v>37</v>
      </c>
      <c r="Z645" s="5">
        <v>5.5</v>
      </c>
      <c r="AA645" s="5" t="s">
        <v>68</v>
      </c>
      <c r="AB645" s="5"/>
      <c r="AC645" s="5"/>
      <c r="AD645" s="5"/>
      <c r="AE645" s="5"/>
      <c r="AF645" s="5" t="s">
        <v>68</v>
      </c>
      <c r="AG645" s="5"/>
      <c r="AH645" s="5"/>
      <c r="AI645" s="5"/>
      <c r="AJ645" s="5" t="s">
        <v>68</v>
      </c>
      <c r="AK645" s="5"/>
      <c r="AL645" s="5"/>
      <c r="AM645" s="5"/>
      <c r="AN645" s="5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</row>
    <row r="646" spans="1:240" ht="30" customHeight="1">
      <c r="A646" s="5">
        <v>644</v>
      </c>
      <c r="B646" s="5" t="s">
        <v>68</v>
      </c>
      <c r="C646" s="5"/>
      <c r="D646" s="5"/>
      <c r="E646" s="5">
        <v>1240</v>
      </c>
      <c r="F646" s="5">
        <v>767</v>
      </c>
      <c r="G646" s="5">
        <v>954</v>
      </c>
      <c r="H646" s="5">
        <v>71</v>
      </c>
      <c r="I646" s="5" t="s">
        <v>13</v>
      </c>
      <c r="J646" s="24">
        <v>3.5028171089068132</v>
      </c>
      <c r="K646" s="30">
        <v>5</v>
      </c>
      <c r="L646" s="5">
        <v>20.2</v>
      </c>
      <c r="M646" s="31">
        <v>10</v>
      </c>
      <c r="N646" s="5" t="s">
        <v>48</v>
      </c>
      <c r="O646" s="5">
        <v>4180</v>
      </c>
      <c r="P646" s="5"/>
      <c r="Q646" s="5"/>
      <c r="R646" s="5">
        <v>1</v>
      </c>
      <c r="S646" s="5">
        <v>500</v>
      </c>
      <c r="T646" s="5">
        <v>800</v>
      </c>
      <c r="U646" s="5">
        <v>930</v>
      </c>
      <c r="V646" s="5">
        <v>0.27</v>
      </c>
      <c r="W646" s="5" t="s">
        <v>99</v>
      </c>
      <c r="X646" s="5">
        <v>37</v>
      </c>
      <c r="Y646" s="5">
        <v>50</v>
      </c>
      <c r="Z646" s="5">
        <v>7.3</v>
      </c>
      <c r="AA646" s="5" t="s">
        <v>68</v>
      </c>
      <c r="AB646" s="5"/>
      <c r="AC646" s="5"/>
      <c r="AD646" s="5"/>
      <c r="AE646" s="5"/>
      <c r="AF646" s="5" t="s">
        <v>68</v>
      </c>
      <c r="AG646" s="5"/>
      <c r="AH646" s="5"/>
      <c r="AI646" s="5"/>
      <c r="AJ646" s="5" t="s">
        <v>68</v>
      </c>
      <c r="AK646" s="5"/>
      <c r="AL646" s="5"/>
      <c r="AM646" s="5"/>
      <c r="AN646" s="5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</row>
    <row r="647" spans="1:240" ht="30" customHeight="1">
      <c r="A647" s="5">
        <v>645</v>
      </c>
      <c r="B647" s="5" t="s">
        <v>68</v>
      </c>
      <c r="C647" s="5"/>
      <c r="D647" s="5"/>
      <c r="E647" s="5">
        <v>2120</v>
      </c>
      <c r="F647" s="5">
        <v>767</v>
      </c>
      <c r="G647" s="5">
        <v>954</v>
      </c>
      <c r="H647" s="5">
        <v>98</v>
      </c>
      <c r="I647" s="5" t="s">
        <v>13</v>
      </c>
      <c r="J647" s="24">
        <v>6.2079629949932631</v>
      </c>
      <c r="K647" s="30">
        <v>5</v>
      </c>
      <c r="L647" s="5">
        <v>35.799999999999997</v>
      </c>
      <c r="M647" s="31">
        <v>10</v>
      </c>
      <c r="N647" s="5" t="s">
        <v>48</v>
      </c>
      <c r="O647" s="5">
        <v>9940</v>
      </c>
      <c r="P647" s="5"/>
      <c r="Q647" s="5"/>
      <c r="R647" s="5">
        <v>2</v>
      </c>
      <c r="S647" s="5">
        <v>500</v>
      </c>
      <c r="T647" s="5">
        <v>800</v>
      </c>
      <c r="U647" s="5">
        <v>930</v>
      </c>
      <c r="V647" s="5">
        <v>0.54</v>
      </c>
      <c r="W647" s="5" t="s">
        <v>99</v>
      </c>
      <c r="X647" s="5">
        <v>40</v>
      </c>
      <c r="Y647" s="5">
        <v>50</v>
      </c>
      <c r="Z647" s="5">
        <v>7.4</v>
      </c>
      <c r="AA647" s="5" t="s">
        <v>68</v>
      </c>
      <c r="AB647" s="5"/>
      <c r="AC647" s="5"/>
      <c r="AD647" s="5"/>
      <c r="AE647" s="5"/>
      <c r="AF647" s="5" t="s">
        <v>68</v>
      </c>
      <c r="AG647" s="5"/>
      <c r="AH647" s="5"/>
      <c r="AI647" s="5"/>
      <c r="AJ647" s="5" t="s">
        <v>68</v>
      </c>
      <c r="AK647" s="5"/>
      <c r="AL647" s="5"/>
      <c r="AM647" s="5"/>
      <c r="AN647" s="5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</row>
    <row r="648" spans="1:240" ht="30" customHeight="1">
      <c r="A648" s="5">
        <v>646</v>
      </c>
      <c r="B648" s="5" t="s">
        <v>68</v>
      </c>
      <c r="C648" s="5"/>
      <c r="D648" s="5"/>
      <c r="E648" s="5">
        <v>2120</v>
      </c>
      <c r="F648" s="5">
        <v>767</v>
      </c>
      <c r="G648" s="5">
        <v>954</v>
      </c>
      <c r="H648" s="5">
        <v>107</v>
      </c>
      <c r="I648" s="5" t="s">
        <v>13</v>
      </c>
      <c r="J648" s="24">
        <v>6.9015901452718396</v>
      </c>
      <c r="K648" s="30">
        <v>5</v>
      </c>
      <c r="L648" s="5">
        <v>39.799999999999997</v>
      </c>
      <c r="M648" s="31">
        <v>10</v>
      </c>
      <c r="N648" s="5" t="s">
        <v>48</v>
      </c>
      <c r="O648" s="5">
        <v>9000</v>
      </c>
      <c r="P648" s="5"/>
      <c r="Q648" s="5"/>
      <c r="R648" s="5">
        <v>2</v>
      </c>
      <c r="S648" s="5">
        <v>500</v>
      </c>
      <c r="T648" s="5">
        <v>800</v>
      </c>
      <c r="U648" s="5">
        <v>930</v>
      </c>
      <c r="V648" s="5">
        <v>0.54</v>
      </c>
      <c r="W648" s="5" t="s">
        <v>99</v>
      </c>
      <c r="X648" s="5">
        <v>40</v>
      </c>
      <c r="Y648" s="5">
        <v>74</v>
      </c>
      <c r="Z648" s="5">
        <v>11</v>
      </c>
      <c r="AA648" s="5" t="s">
        <v>68</v>
      </c>
      <c r="AB648" s="5"/>
      <c r="AC648" s="5"/>
      <c r="AD648" s="5"/>
      <c r="AE648" s="5"/>
      <c r="AF648" s="5" t="s">
        <v>68</v>
      </c>
      <c r="AG648" s="5"/>
      <c r="AH648" s="5"/>
      <c r="AI648" s="5"/>
      <c r="AJ648" s="5" t="s">
        <v>68</v>
      </c>
      <c r="AK648" s="5"/>
      <c r="AL648" s="5"/>
      <c r="AM648" s="5"/>
      <c r="AN648" s="5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</row>
    <row r="649" spans="1:240" ht="30" customHeight="1">
      <c r="A649" s="5">
        <v>647</v>
      </c>
      <c r="B649" s="5" t="s">
        <v>68</v>
      </c>
      <c r="C649" s="5"/>
      <c r="D649" s="5"/>
      <c r="E649" s="5">
        <v>2120</v>
      </c>
      <c r="F649" s="5">
        <v>767</v>
      </c>
      <c r="G649" s="5">
        <v>954</v>
      </c>
      <c r="H649" s="5">
        <v>117</v>
      </c>
      <c r="I649" s="5" t="s">
        <v>13</v>
      </c>
      <c r="J649" s="24">
        <v>7.0056342178136264</v>
      </c>
      <c r="K649" s="30">
        <v>5</v>
      </c>
      <c r="L649" s="5">
        <v>40.4</v>
      </c>
      <c r="M649" s="31">
        <v>10</v>
      </c>
      <c r="N649" s="5" t="s">
        <v>48</v>
      </c>
      <c r="O649" s="5">
        <v>8360</v>
      </c>
      <c r="P649" s="5"/>
      <c r="Q649" s="5"/>
      <c r="R649" s="5">
        <v>2</v>
      </c>
      <c r="S649" s="5">
        <v>500</v>
      </c>
      <c r="T649" s="5">
        <v>800</v>
      </c>
      <c r="U649" s="5">
        <v>930</v>
      </c>
      <c r="V649" s="5">
        <v>0.54</v>
      </c>
      <c r="W649" s="5" t="s">
        <v>99</v>
      </c>
      <c r="X649" s="5">
        <v>40</v>
      </c>
      <c r="Y649" s="5">
        <v>99</v>
      </c>
      <c r="Z649" s="5">
        <v>14.6</v>
      </c>
      <c r="AA649" s="5" t="s">
        <v>68</v>
      </c>
      <c r="AB649" s="5"/>
      <c r="AC649" s="5"/>
      <c r="AD649" s="5"/>
      <c r="AE649" s="5"/>
      <c r="AF649" s="5" t="s">
        <v>68</v>
      </c>
      <c r="AG649" s="5"/>
      <c r="AH649" s="5"/>
      <c r="AI649" s="5"/>
      <c r="AJ649" s="5" t="s">
        <v>68</v>
      </c>
      <c r="AK649" s="5"/>
      <c r="AL649" s="5"/>
      <c r="AM649" s="5"/>
      <c r="AN649" s="5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</row>
    <row r="650" spans="1:240" ht="30" customHeight="1">
      <c r="A650" s="5">
        <v>648</v>
      </c>
      <c r="B650" s="5" t="s">
        <v>68</v>
      </c>
      <c r="C650" s="5"/>
      <c r="D650" s="5"/>
      <c r="E650" s="5">
        <v>3000</v>
      </c>
      <c r="F650" s="5">
        <v>767</v>
      </c>
      <c r="G650" s="5">
        <v>954</v>
      </c>
      <c r="H650" s="5">
        <v>135</v>
      </c>
      <c r="I650" s="5" t="s">
        <v>13</v>
      </c>
      <c r="J650" s="24">
        <v>9.3119444924898946</v>
      </c>
      <c r="K650" s="30">
        <v>5</v>
      </c>
      <c r="L650" s="5">
        <v>53.7</v>
      </c>
      <c r="M650" s="31">
        <v>10</v>
      </c>
      <c r="N650" s="5" t="s">
        <v>48</v>
      </c>
      <c r="O650" s="5">
        <v>14910</v>
      </c>
      <c r="P650" s="5"/>
      <c r="Q650" s="5"/>
      <c r="R650" s="5">
        <v>3</v>
      </c>
      <c r="S650" s="5">
        <v>500</v>
      </c>
      <c r="T650" s="5">
        <v>800</v>
      </c>
      <c r="U650" s="5">
        <v>930</v>
      </c>
      <c r="V650" s="5">
        <v>0.81</v>
      </c>
      <c r="W650" s="5" t="s">
        <v>99</v>
      </c>
      <c r="X650" s="5">
        <v>42</v>
      </c>
      <c r="Y650" s="5">
        <v>74</v>
      </c>
      <c r="Z650" s="5">
        <v>11.1</v>
      </c>
      <c r="AA650" s="5" t="s">
        <v>68</v>
      </c>
      <c r="AB650" s="5"/>
      <c r="AC650" s="5"/>
      <c r="AD650" s="5"/>
      <c r="AE650" s="5"/>
      <c r="AF650" s="5" t="s">
        <v>68</v>
      </c>
      <c r="AG650" s="5"/>
      <c r="AH650" s="5"/>
      <c r="AI650" s="5"/>
      <c r="AJ650" s="5" t="s">
        <v>68</v>
      </c>
      <c r="AK650" s="5"/>
      <c r="AL650" s="5"/>
      <c r="AM650" s="5"/>
      <c r="AN650" s="5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</row>
    <row r="651" spans="1:240" ht="30" customHeight="1">
      <c r="A651" s="5">
        <v>649</v>
      </c>
      <c r="B651" s="5" t="s">
        <v>68</v>
      </c>
      <c r="C651" s="5"/>
      <c r="D651" s="5"/>
      <c r="E651" s="5">
        <v>3000</v>
      </c>
      <c r="F651" s="5">
        <v>767</v>
      </c>
      <c r="G651" s="5">
        <v>954</v>
      </c>
      <c r="H651" s="5">
        <v>149</v>
      </c>
      <c r="I651" s="5" t="s">
        <v>13</v>
      </c>
      <c r="J651" s="24">
        <v>10.352385217907761</v>
      </c>
      <c r="K651" s="30">
        <v>5</v>
      </c>
      <c r="L651" s="5">
        <v>59.7</v>
      </c>
      <c r="M651" s="31">
        <v>10</v>
      </c>
      <c r="N651" s="5" t="s">
        <v>48</v>
      </c>
      <c r="O651" s="5">
        <v>13500</v>
      </c>
      <c r="P651" s="5"/>
      <c r="Q651" s="5"/>
      <c r="R651" s="5">
        <v>3</v>
      </c>
      <c r="S651" s="5">
        <v>500</v>
      </c>
      <c r="T651" s="5">
        <v>800</v>
      </c>
      <c r="U651" s="5">
        <v>930</v>
      </c>
      <c r="V651" s="5">
        <v>0.81</v>
      </c>
      <c r="W651" s="5" t="s">
        <v>99</v>
      </c>
      <c r="X651" s="5">
        <v>42</v>
      </c>
      <c r="Y651" s="5">
        <v>111</v>
      </c>
      <c r="Z651" s="5">
        <v>16.5</v>
      </c>
      <c r="AA651" s="5" t="s">
        <v>68</v>
      </c>
      <c r="AB651" s="5"/>
      <c r="AC651" s="5"/>
      <c r="AD651" s="5"/>
      <c r="AE651" s="5"/>
      <c r="AF651" s="5" t="s">
        <v>68</v>
      </c>
      <c r="AG651" s="5"/>
      <c r="AH651" s="5"/>
      <c r="AI651" s="5"/>
      <c r="AJ651" s="5" t="s">
        <v>68</v>
      </c>
      <c r="AK651" s="5"/>
      <c r="AL651" s="5"/>
      <c r="AM651" s="5"/>
      <c r="AN651" s="5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</row>
    <row r="652" spans="1:240" ht="30" customHeight="1">
      <c r="A652" s="5">
        <v>650</v>
      </c>
      <c r="B652" s="5" t="s">
        <v>68</v>
      </c>
      <c r="C652" s="5"/>
      <c r="D652" s="5"/>
      <c r="E652" s="5">
        <v>3000</v>
      </c>
      <c r="F652" s="5">
        <v>767</v>
      </c>
      <c r="G652" s="5">
        <v>954</v>
      </c>
      <c r="H652" s="5">
        <v>162</v>
      </c>
      <c r="I652" s="5" t="s">
        <v>13</v>
      </c>
      <c r="J652" s="24">
        <v>10.50845132672044</v>
      </c>
      <c r="K652" s="30">
        <v>5</v>
      </c>
      <c r="L652" s="5">
        <v>60.6</v>
      </c>
      <c r="M652" s="31">
        <v>10</v>
      </c>
      <c r="N652" s="5" t="s">
        <v>48</v>
      </c>
      <c r="O652" s="5">
        <v>12540</v>
      </c>
      <c r="P652" s="5"/>
      <c r="Q652" s="5"/>
      <c r="R652" s="5">
        <v>3</v>
      </c>
      <c r="S652" s="5">
        <v>500</v>
      </c>
      <c r="T652" s="5">
        <v>800</v>
      </c>
      <c r="U652" s="5">
        <v>930</v>
      </c>
      <c r="V652" s="5">
        <v>0.81</v>
      </c>
      <c r="W652" s="5" t="s">
        <v>99</v>
      </c>
      <c r="X652" s="5">
        <v>42</v>
      </c>
      <c r="Y652" s="5">
        <v>149</v>
      </c>
      <c r="Z652" s="5">
        <v>21.9</v>
      </c>
      <c r="AA652" s="5" t="s">
        <v>68</v>
      </c>
      <c r="AB652" s="5"/>
      <c r="AC652" s="5"/>
      <c r="AD652" s="5"/>
      <c r="AE652" s="5"/>
      <c r="AF652" s="5" t="s">
        <v>68</v>
      </c>
      <c r="AG652" s="5"/>
      <c r="AH652" s="5"/>
      <c r="AI652" s="5"/>
      <c r="AJ652" s="5" t="s">
        <v>68</v>
      </c>
      <c r="AK652" s="5"/>
      <c r="AL652" s="5"/>
      <c r="AM652" s="5"/>
      <c r="AN652" s="5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</row>
    <row r="653" spans="1:240" ht="30" customHeight="1">
      <c r="A653" s="5">
        <v>651</v>
      </c>
      <c r="B653" s="5" t="s">
        <v>68</v>
      </c>
      <c r="C653" s="5"/>
      <c r="D653" s="5"/>
      <c r="E653" s="5">
        <v>2120</v>
      </c>
      <c r="F653" s="5">
        <v>1517</v>
      </c>
      <c r="G653" s="5">
        <v>954</v>
      </c>
      <c r="H653" s="5">
        <v>178</v>
      </c>
      <c r="I653" s="5" t="s">
        <v>13</v>
      </c>
      <c r="J653" s="24">
        <v>12.415925989986526</v>
      </c>
      <c r="K653" s="30">
        <v>5</v>
      </c>
      <c r="L653" s="5">
        <v>71.599999999999994</v>
      </c>
      <c r="M653" s="31">
        <v>10</v>
      </c>
      <c r="N653" s="5" t="s">
        <v>48</v>
      </c>
      <c r="O653" s="5">
        <v>19880</v>
      </c>
      <c r="P653" s="5"/>
      <c r="Q653" s="5"/>
      <c r="R653" s="5">
        <v>4</v>
      </c>
      <c r="S653" s="5">
        <v>500</v>
      </c>
      <c r="T653" s="5">
        <v>800</v>
      </c>
      <c r="U653" s="5">
        <v>930</v>
      </c>
      <c r="V653" s="5">
        <v>1.08</v>
      </c>
      <c r="W653" s="5" t="s">
        <v>99</v>
      </c>
      <c r="X653" s="5">
        <v>43</v>
      </c>
      <c r="Y653" s="5">
        <v>99</v>
      </c>
      <c r="Z653" s="5">
        <v>14.8</v>
      </c>
      <c r="AA653" s="5" t="s">
        <v>68</v>
      </c>
      <c r="AB653" s="5"/>
      <c r="AC653" s="5"/>
      <c r="AD653" s="5"/>
      <c r="AE653" s="5"/>
      <c r="AF653" s="5" t="s">
        <v>68</v>
      </c>
      <c r="AG653" s="5"/>
      <c r="AH653" s="5"/>
      <c r="AI653" s="5"/>
      <c r="AJ653" s="5" t="s">
        <v>68</v>
      </c>
      <c r="AK653" s="5"/>
      <c r="AL653" s="5"/>
      <c r="AM653" s="5"/>
      <c r="AN653" s="5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</row>
    <row r="654" spans="1:240" ht="30" customHeight="1">
      <c r="A654" s="5">
        <v>652</v>
      </c>
      <c r="B654" s="5" t="s">
        <v>68</v>
      </c>
      <c r="C654" s="5"/>
      <c r="D654" s="5"/>
      <c r="E654" s="5">
        <v>2120</v>
      </c>
      <c r="F654" s="5">
        <v>1517</v>
      </c>
      <c r="G654" s="5">
        <v>954</v>
      </c>
      <c r="H654" s="5">
        <v>200</v>
      </c>
      <c r="I654" s="5" t="s">
        <v>13</v>
      </c>
      <c r="J654" s="24">
        <v>13.803180290543679</v>
      </c>
      <c r="K654" s="30">
        <v>5</v>
      </c>
      <c r="L654" s="5">
        <v>79.599999999999994</v>
      </c>
      <c r="M654" s="31">
        <v>10</v>
      </c>
      <c r="N654" s="5" t="s">
        <v>48</v>
      </c>
      <c r="O654" s="5">
        <v>18000</v>
      </c>
      <c r="P654" s="5"/>
      <c r="Q654" s="5"/>
      <c r="R654" s="5">
        <v>4</v>
      </c>
      <c r="S654" s="5">
        <v>500</v>
      </c>
      <c r="T654" s="5">
        <v>800</v>
      </c>
      <c r="U654" s="5">
        <v>930</v>
      </c>
      <c r="V654" s="5">
        <v>1.08</v>
      </c>
      <c r="W654" s="5" t="s">
        <v>99</v>
      </c>
      <c r="X654" s="5">
        <v>43</v>
      </c>
      <c r="Y654" s="5">
        <v>149</v>
      </c>
      <c r="Z654" s="5">
        <v>22</v>
      </c>
      <c r="AA654" s="5" t="s">
        <v>68</v>
      </c>
      <c r="AB654" s="5"/>
      <c r="AC654" s="5"/>
      <c r="AD654" s="5"/>
      <c r="AE654" s="5"/>
      <c r="AF654" s="5" t="s">
        <v>68</v>
      </c>
      <c r="AG654" s="5"/>
      <c r="AH654" s="5"/>
      <c r="AI654" s="5"/>
      <c r="AJ654" s="5" t="s">
        <v>68</v>
      </c>
      <c r="AK654" s="5"/>
      <c r="AL654" s="5"/>
      <c r="AM654" s="5"/>
      <c r="AN654" s="5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</row>
    <row r="655" spans="1:240" ht="30" customHeight="1">
      <c r="A655" s="5">
        <v>653</v>
      </c>
      <c r="B655" s="5" t="s">
        <v>68</v>
      </c>
      <c r="C655" s="5"/>
      <c r="D655" s="5"/>
      <c r="E655" s="5">
        <v>2120</v>
      </c>
      <c r="F655" s="5">
        <v>1517</v>
      </c>
      <c r="G655" s="5">
        <v>954</v>
      </c>
      <c r="H655" s="5">
        <v>218</v>
      </c>
      <c r="I655" s="5" t="s">
        <v>13</v>
      </c>
      <c r="J655" s="24">
        <v>14.011268435627253</v>
      </c>
      <c r="K655" s="30">
        <v>5</v>
      </c>
      <c r="L655" s="5">
        <v>80.8</v>
      </c>
      <c r="M655" s="31">
        <v>10</v>
      </c>
      <c r="N655" s="5" t="s">
        <v>48</v>
      </c>
      <c r="O655" s="5">
        <v>16720</v>
      </c>
      <c r="P655" s="5"/>
      <c r="Q655" s="5"/>
      <c r="R655" s="5">
        <v>4</v>
      </c>
      <c r="S655" s="5">
        <v>500</v>
      </c>
      <c r="T655" s="5">
        <v>800</v>
      </c>
      <c r="U655" s="5">
        <v>930</v>
      </c>
      <c r="V655" s="5">
        <v>1.08</v>
      </c>
      <c r="W655" s="5" t="s">
        <v>99</v>
      </c>
      <c r="X655" s="5">
        <v>43</v>
      </c>
      <c r="Y655" s="5">
        <v>198</v>
      </c>
      <c r="Z655" s="5">
        <v>29.2</v>
      </c>
      <c r="AA655" s="5" t="s">
        <v>68</v>
      </c>
      <c r="AB655" s="5"/>
      <c r="AC655" s="5"/>
      <c r="AD655" s="5"/>
      <c r="AE655" s="5"/>
      <c r="AF655" s="5" t="s">
        <v>68</v>
      </c>
      <c r="AG655" s="5"/>
      <c r="AH655" s="5"/>
      <c r="AI655" s="5"/>
      <c r="AJ655" s="5" t="s">
        <v>68</v>
      </c>
      <c r="AK655" s="5"/>
      <c r="AL655" s="5"/>
      <c r="AM655" s="5"/>
      <c r="AN655" s="5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</row>
    <row r="656" spans="1:240" ht="30" customHeight="1">
      <c r="A656" s="5">
        <v>654</v>
      </c>
      <c r="B656" s="5" t="s">
        <v>68</v>
      </c>
      <c r="C656" s="5"/>
      <c r="D656" s="5"/>
      <c r="E656" s="5">
        <v>3000</v>
      </c>
      <c r="F656" s="5">
        <v>1517</v>
      </c>
      <c r="G656" s="5">
        <v>954</v>
      </c>
      <c r="H656" s="5">
        <v>253</v>
      </c>
      <c r="I656" s="5" t="s">
        <v>13</v>
      </c>
      <c r="J656" s="24">
        <v>18.554526269951932</v>
      </c>
      <c r="K656" s="30">
        <v>5</v>
      </c>
      <c r="L656" s="5">
        <v>107</v>
      </c>
      <c r="M656" s="31">
        <v>10</v>
      </c>
      <c r="N656" s="5" t="s">
        <v>48</v>
      </c>
      <c r="O656" s="5">
        <v>29820</v>
      </c>
      <c r="P656" s="5"/>
      <c r="Q656" s="5"/>
      <c r="R656" s="5">
        <v>6</v>
      </c>
      <c r="S656" s="5">
        <v>500</v>
      </c>
      <c r="T656" s="5">
        <v>800</v>
      </c>
      <c r="U656" s="5">
        <v>930</v>
      </c>
      <c r="V656" s="5">
        <v>1.62</v>
      </c>
      <c r="W656" s="5" t="s">
        <v>99</v>
      </c>
      <c r="X656" s="5">
        <v>45</v>
      </c>
      <c r="Y656" s="5">
        <v>149</v>
      </c>
      <c r="Z656" s="5">
        <v>22.2</v>
      </c>
      <c r="AA656" s="5" t="s">
        <v>68</v>
      </c>
      <c r="AB656" s="5"/>
      <c r="AC656" s="5"/>
      <c r="AD656" s="5"/>
      <c r="AE656" s="5"/>
      <c r="AF656" s="5" t="s">
        <v>68</v>
      </c>
      <c r="AG656" s="5"/>
      <c r="AH656" s="5"/>
      <c r="AI656" s="5"/>
      <c r="AJ656" s="5" t="s">
        <v>68</v>
      </c>
      <c r="AK656" s="5"/>
      <c r="AL656" s="5"/>
      <c r="AM656" s="5"/>
      <c r="AN656" s="5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</row>
    <row r="657" spans="1:240" ht="30" customHeight="1">
      <c r="A657" s="5">
        <v>655</v>
      </c>
      <c r="B657" s="5" t="s">
        <v>68</v>
      </c>
      <c r="C657" s="5"/>
      <c r="D657" s="5"/>
      <c r="E657" s="5">
        <v>3000</v>
      </c>
      <c r="F657" s="5">
        <v>1517</v>
      </c>
      <c r="G657" s="5">
        <v>954</v>
      </c>
      <c r="H657" s="5">
        <v>280</v>
      </c>
      <c r="I657" s="5" t="s">
        <v>13</v>
      </c>
      <c r="J657" s="24">
        <v>20.635407720787665</v>
      </c>
      <c r="K657" s="30">
        <v>5</v>
      </c>
      <c r="L657" s="5">
        <v>119</v>
      </c>
      <c r="M657" s="31">
        <v>10</v>
      </c>
      <c r="N657" s="5" t="s">
        <v>48</v>
      </c>
      <c r="O657" s="5">
        <v>27000</v>
      </c>
      <c r="P657" s="5"/>
      <c r="Q657" s="5"/>
      <c r="R657" s="5">
        <v>6</v>
      </c>
      <c r="S657" s="5">
        <v>500</v>
      </c>
      <c r="T657" s="5">
        <v>800</v>
      </c>
      <c r="U657" s="5">
        <v>930</v>
      </c>
      <c r="V657" s="5">
        <v>1.62</v>
      </c>
      <c r="W657" s="5" t="s">
        <v>99</v>
      </c>
      <c r="X657" s="5">
        <v>45</v>
      </c>
      <c r="Y657" s="5">
        <v>223</v>
      </c>
      <c r="Z657" s="5">
        <v>33</v>
      </c>
      <c r="AA657" s="5" t="s">
        <v>68</v>
      </c>
      <c r="AB657" s="5"/>
      <c r="AC657" s="5"/>
      <c r="AD657" s="5"/>
      <c r="AE657" s="5"/>
      <c r="AF657" s="5" t="s">
        <v>68</v>
      </c>
      <c r="AG657" s="5"/>
      <c r="AH657" s="5"/>
      <c r="AI657" s="5"/>
      <c r="AJ657" s="5" t="s">
        <v>68</v>
      </c>
      <c r="AK657" s="5"/>
      <c r="AL657" s="5"/>
      <c r="AM657" s="5"/>
      <c r="AN657" s="5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</row>
    <row r="658" spans="1:240" ht="30" customHeight="1">
      <c r="A658" s="5">
        <v>656</v>
      </c>
      <c r="B658" s="5" t="s">
        <v>68</v>
      </c>
      <c r="C658" s="5"/>
      <c r="D658" s="5"/>
      <c r="E658" s="5">
        <v>3000</v>
      </c>
      <c r="F658" s="5">
        <v>1517</v>
      </c>
      <c r="G658" s="5">
        <v>954</v>
      </c>
      <c r="H658" s="5">
        <v>308</v>
      </c>
      <c r="I658" s="5" t="s">
        <v>13</v>
      </c>
      <c r="J658" s="24">
        <v>20.982221295926951</v>
      </c>
      <c r="K658" s="30">
        <v>5</v>
      </c>
      <c r="L658" s="5">
        <v>121</v>
      </c>
      <c r="M658" s="31">
        <v>10</v>
      </c>
      <c r="N658" s="5" t="s">
        <v>48</v>
      </c>
      <c r="O658" s="5">
        <v>25080</v>
      </c>
      <c r="P658" s="5"/>
      <c r="Q658" s="5"/>
      <c r="R658" s="5">
        <v>6</v>
      </c>
      <c r="S658" s="5">
        <v>500</v>
      </c>
      <c r="T658" s="5">
        <v>800</v>
      </c>
      <c r="U658" s="5">
        <v>930</v>
      </c>
      <c r="V658" s="5">
        <v>1.62</v>
      </c>
      <c r="W658" s="5" t="s">
        <v>99</v>
      </c>
      <c r="X658" s="5">
        <v>45</v>
      </c>
      <c r="Y658" s="5">
        <v>297</v>
      </c>
      <c r="Z658" s="5">
        <v>43.8</v>
      </c>
      <c r="AA658" s="5" t="s">
        <v>68</v>
      </c>
      <c r="AB658" s="5"/>
      <c r="AC658" s="5"/>
      <c r="AD658" s="5"/>
      <c r="AE658" s="5"/>
      <c r="AF658" s="5" t="s">
        <v>68</v>
      </c>
      <c r="AG658" s="5"/>
      <c r="AH658" s="5"/>
      <c r="AI658" s="5"/>
      <c r="AJ658" s="5" t="s">
        <v>68</v>
      </c>
      <c r="AK658" s="5"/>
      <c r="AL658" s="5"/>
      <c r="AM658" s="5"/>
      <c r="AN658" s="5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</row>
    <row r="659" spans="1:240" ht="30" customHeight="1">
      <c r="A659" s="5">
        <v>657</v>
      </c>
      <c r="B659" s="5" t="s">
        <v>68</v>
      </c>
      <c r="C659" s="5"/>
      <c r="D659" s="5"/>
      <c r="E659" s="5">
        <v>1240</v>
      </c>
      <c r="F659" s="5">
        <v>767</v>
      </c>
      <c r="G659" s="5">
        <v>954</v>
      </c>
      <c r="H659" s="5">
        <v>61</v>
      </c>
      <c r="I659" s="5" t="s">
        <v>13</v>
      </c>
      <c r="J659" s="24">
        <v>2.4450357047319833</v>
      </c>
      <c r="K659" s="30">
        <v>5</v>
      </c>
      <c r="L659" s="5">
        <v>14.1</v>
      </c>
      <c r="M659" s="31">
        <v>10</v>
      </c>
      <c r="N659" s="5" t="s">
        <v>48</v>
      </c>
      <c r="O659" s="5">
        <v>3430</v>
      </c>
      <c r="P659" s="5"/>
      <c r="Q659" s="5"/>
      <c r="R659" s="5">
        <v>1</v>
      </c>
      <c r="S659" s="5">
        <v>500</v>
      </c>
      <c r="T659" s="5">
        <v>560</v>
      </c>
      <c r="U659" s="5">
        <v>680</v>
      </c>
      <c r="V659" s="5">
        <v>0.15</v>
      </c>
      <c r="W659" s="5" t="s">
        <v>99</v>
      </c>
      <c r="X659" s="5">
        <v>29</v>
      </c>
      <c r="Y659" s="5">
        <v>25</v>
      </c>
      <c r="Z659" s="5">
        <v>3.7</v>
      </c>
      <c r="AA659" s="5" t="s">
        <v>68</v>
      </c>
      <c r="AB659" s="5"/>
      <c r="AC659" s="5"/>
      <c r="AD659" s="5"/>
      <c r="AE659" s="5"/>
      <c r="AF659" s="5" t="s">
        <v>68</v>
      </c>
      <c r="AG659" s="5"/>
      <c r="AH659" s="5"/>
      <c r="AI659" s="5"/>
      <c r="AJ659" s="5" t="s">
        <v>68</v>
      </c>
      <c r="AK659" s="5"/>
      <c r="AL659" s="5"/>
      <c r="AM659" s="5"/>
      <c r="AN659" s="5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</row>
    <row r="660" spans="1:240" ht="30" customHeight="1">
      <c r="A660" s="5">
        <v>658</v>
      </c>
      <c r="B660" s="5" t="s">
        <v>68</v>
      </c>
      <c r="C660" s="5"/>
      <c r="D660" s="5"/>
      <c r="E660" s="5">
        <v>1240</v>
      </c>
      <c r="F660" s="5">
        <v>767</v>
      </c>
      <c r="G660" s="5">
        <v>954</v>
      </c>
      <c r="H660" s="5">
        <v>66</v>
      </c>
      <c r="I660" s="5" t="s">
        <v>13</v>
      </c>
      <c r="J660" s="24">
        <v>2.5664204560307344</v>
      </c>
      <c r="K660" s="30">
        <v>5</v>
      </c>
      <c r="L660" s="5">
        <v>14.8</v>
      </c>
      <c r="M660" s="31">
        <v>10</v>
      </c>
      <c r="N660" s="5" t="s">
        <v>48</v>
      </c>
      <c r="O660" s="5">
        <v>3100</v>
      </c>
      <c r="P660" s="5"/>
      <c r="Q660" s="5"/>
      <c r="R660" s="5">
        <v>1</v>
      </c>
      <c r="S660" s="5">
        <v>500</v>
      </c>
      <c r="T660" s="5">
        <v>560</v>
      </c>
      <c r="U660" s="5">
        <v>680</v>
      </c>
      <c r="V660" s="5">
        <v>0.15</v>
      </c>
      <c r="W660" s="5" t="s">
        <v>99</v>
      </c>
      <c r="X660" s="26">
        <v>29</v>
      </c>
      <c r="Y660" s="5">
        <v>37</v>
      </c>
      <c r="Z660" s="5">
        <v>5.5</v>
      </c>
      <c r="AA660" s="5" t="s">
        <v>68</v>
      </c>
      <c r="AB660" s="5"/>
      <c r="AC660" s="5"/>
      <c r="AD660" s="5"/>
      <c r="AE660" s="5"/>
      <c r="AF660" s="5" t="s">
        <v>68</v>
      </c>
      <c r="AG660" s="5"/>
      <c r="AH660" s="5"/>
      <c r="AI660" s="5"/>
      <c r="AJ660" s="5" t="s">
        <v>68</v>
      </c>
      <c r="AK660" s="5"/>
      <c r="AL660" s="5"/>
      <c r="AM660" s="5"/>
      <c r="AN660" s="5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</row>
    <row r="661" spans="1:240" ht="30" customHeight="1">
      <c r="A661" s="5">
        <v>659</v>
      </c>
      <c r="B661" s="5" t="s">
        <v>68</v>
      </c>
      <c r="C661" s="5"/>
      <c r="D661" s="5"/>
      <c r="E661" s="5">
        <v>1240</v>
      </c>
      <c r="F661" s="5">
        <v>767</v>
      </c>
      <c r="G661" s="5">
        <v>954</v>
      </c>
      <c r="H661" s="5">
        <v>71</v>
      </c>
      <c r="I661" s="5" t="s">
        <v>13</v>
      </c>
      <c r="J661" s="24">
        <v>2.6357831710585917</v>
      </c>
      <c r="K661" s="30">
        <v>5</v>
      </c>
      <c r="L661" s="5">
        <v>15.2</v>
      </c>
      <c r="M661" s="31">
        <v>10</v>
      </c>
      <c r="N661" s="5" t="s">
        <v>48</v>
      </c>
      <c r="O661" s="5">
        <v>3170</v>
      </c>
      <c r="P661" s="5"/>
      <c r="Q661" s="5"/>
      <c r="R661" s="5">
        <v>1</v>
      </c>
      <c r="S661" s="5">
        <v>500</v>
      </c>
      <c r="T661" s="5">
        <v>560</v>
      </c>
      <c r="U661" s="5">
        <v>680</v>
      </c>
      <c r="V661" s="5">
        <v>0.15</v>
      </c>
      <c r="W661" s="5" t="s">
        <v>99</v>
      </c>
      <c r="X661" s="26">
        <v>29</v>
      </c>
      <c r="Y661" s="5">
        <v>50</v>
      </c>
      <c r="Z661" s="5">
        <v>7.3</v>
      </c>
      <c r="AA661" s="5" t="s">
        <v>68</v>
      </c>
      <c r="AB661" s="5"/>
      <c r="AC661" s="5"/>
      <c r="AD661" s="5"/>
      <c r="AE661" s="5"/>
      <c r="AF661" s="5" t="s">
        <v>68</v>
      </c>
      <c r="AG661" s="5"/>
      <c r="AH661" s="5"/>
      <c r="AI661" s="5"/>
      <c r="AJ661" s="5" t="s">
        <v>68</v>
      </c>
      <c r="AK661" s="5"/>
      <c r="AL661" s="5"/>
      <c r="AM661" s="5"/>
      <c r="AN661" s="5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</row>
    <row r="662" spans="1:240" ht="30" customHeight="1">
      <c r="A662" s="5">
        <v>660</v>
      </c>
      <c r="B662" s="5" t="s">
        <v>68</v>
      </c>
      <c r="C662" s="5"/>
      <c r="D662" s="5"/>
      <c r="E662" s="5">
        <v>2120</v>
      </c>
      <c r="F662" s="5">
        <v>767</v>
      </c>
      <c r="G662" s="5">
        <v>954</v>
      </c>
      <c r="H662" s="5">
        <v>98</v>
      </c>
      <c r="I662" s="5" t="s">
        <v>13</v>
      </c>
      <c r="J662" s="24">
        <v>4.8900714094639666</v>
      </c>
      <c r="K662" s="30">
        <v>5</v>
      </c>
      <c r="L662" s="5">
        <v>28.2</v>
      </c>
      <c r="M662" s="31">
        <v>10</v>
      </c>
      <c r="N662" s="5" t="s">
        <v>48</v>
      </c>
      <c r="O662" s="5">
        <v>6860</v>
      </c>
      <c r="P662" s="5"/>
      <c r="Q662" s="5"/>
      <c r="R662" s="5">
        <v>2</v>
      </c>
      <c r="S662" s="5">
        <v>500</v>
      </c>
      <c r="T662" s="5">
        <v>560</v>
      </c>
      <c r="U662" s="5">
        <v>680</v>
      </c>
      <c r="V662" s="5">
        <v>0.3</v>
      </c>
      <c r="W662" s="5" t="s">
        <v>99</v>
      </c>
      <c r="X662" s="5">
        <v>32</v>
      </c>
      <c r="Y662" s="5">
        <v>50</v>
      </c>
      <c r="Z662" s="5">
        <v>7.4</v>
      </c>
      <c r="AA662" s="5" t="s">
        <v>68</v>
      </c>
      <c r="AB662" s="5"/>
      <c r="AC662" s="5"/>
      <c r="AD662" s="5"/>
      <c r="AE662" s="5"/>
      <c r="AF662" s="5" t="s">
        <v>68</v>
      </c>
      <c r="AG662" s="5"/>
      <c r="AH662" s="5"/>
      <c r="AI662" s="5"/>
      <c r="AJ662" s="5" t="s">
        <v>68</v>
      </c>
      <c r="AK662" s="5"/>
      <c r="AL662" s="5"/>
      <c r="AM662" s="5"/>
      <c r="AN662" s="5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</row>
    <row r="663" spans="1:240" ht="30" customHeight="1">
      <c r="A663" s="5">
        <v>661</v>
      </c>
      <c r="B663" s="5" t="s">
        <v>68</v>
      </c>
      <c r="C663" s="5"/>
      <c r="D663" s="5"/>
      <c r="E663" s="5">
        <v>2120</v>
      </c>
      <c r="F663" s="5">
        <v>767</v>
      </c>
      <c r="G663" s="5">
        <v>954</v>
      </c>
      <c r="H663" s="5">
        <v>107</v>
      </c>
      <c r="I663" s="5" t="s">
        <v>13</v>
      </c>
      <c r="J663" s="24">
        <v>5.1328409120614689</v>
      </c>
      <c r="K663" s="30">
        <v>5</v>
      </c>
      <c r="L663" s="5">
        <v>29.6</v>
      </c>
      <c r="M663" s="31">
        <v>10</v>
      </c>
      <c r="N663" s="5" t="s">
        <v>48</v>
      </c>
      <c r="O663" s="5">
        <v>6200</v>
      </c>
      <c r="P663" s="5"/>
      <c r="Q663" s="5"/>
      <c r="R663" s="5">
        <v>2</v>
      </c>
      <c r="S663" s="5">
        <v>500</v>
      </c>
      <c r="T663" s="5">
        <v>560</v>
      </c>
      <c r="U663" s="5">
        <v>680</v>
      </c>
      <c r="V663" s="5">
        <v>0.3</v>
      </c>
      <c r="W663" s="5" t="s">
        <v>99</v>
      </c>
      <c r="X663" s="5">
        <v>32</v>
      </c>
      <c r="Y663" s="5">
        <v>74</v>
      </c>
      <c r="Z663" s="5">
        <v>11</v>
      </c>
      <c r="AA663" s="5" t="s">
        <v>68</v>
      </c>
      <c r="AB663" s="5"/>
      <c r="AC663" s="5"/>
      <c r="AD663" s="5"/>
      <c r="AE663" s="5"/>
      <c r="AF663" s="5" t="s">
        <v>68</v>
      </c>
      <c r="AG663" s="5"/>
      <c r="AH663" s="5"/>
      <c r="AI663" s="5"/>
      <c r="AJ663" s="5" t="s">
        <v>68</v>
      </c>
      <c r="AK663" s="5"/>
      <c r="AL663" s="5"/>
      <c r="AM663" s="5"/>
      <c r="AN663" s="5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</row>
    <row r="664" spans="1:240" ht="30" customHeight="1">
      <c r="A664" s="5">
        <v>662</v>
      </c>
      <c r="B664" s="5" t="s">
        <v>68</v>
      </c>
      <c r="C664" s="5"/>
      <c r="D664" s="5"/>
      <c r="E664" s="5">
        <v>2120</v>
      </c>
      <c r="F664" s="5">
        <v>767</v>
      </c>
      <c r="G664" s="5">
        <v>954</v>
      </c>
      <c r="H664" s="5">
        <v>117</v>
      </c>
      <c r="I664" s="5" t="s">
        <v>13</v>
      </c>
      <c r="J664" s="24">
        <v>5.2715663421171834</v>
      </c>
      <c r="K664" s="30">
        <v>5</v>
      </c>
      <c r="L664" s="5">
        <v>30.4</v>
      </c>
      <c r="M664" s="31">
        <v>10</v>
      </c>
      <c r="N664" s="5" t="s">
        <v>48</v>
      </c>
      <c r="O664" s="5">
        <v>6340</v>
      </c>
      <c r="P664" s="5"/>
      <c r="Q664" s="5"/>
      <c r="R664" s="5">
        <v>2</v>
      </c>
      <c r="S664" s="5">
        <v>500</v>
      </c>
      <c r="T664" s="5">
        <v>560</v>
      </c>
      <c r="U664" s="5">
        <v>680</v>
      </c>
      <c r="V664" s="5">
        <v>0.3</v>
      </c>
      <c r="W664" s="5" t="s">
        <v>99</v>
      </c>
      <c r="X664" s="5">
        <v>32</v>
      </c>
      <c r="Y664" s="5">
        <v>99</v>
      </c>
      <c r="Z664" s="5">
        <v>14.6</v>
      </c>
      <c r="AA664" s="5" t="s">
        <v>68</v>
      </c>
      <c r="AB664" s="5"/>
      <c r="AC664" s="5"/>
      <c r="AD664" s="5"/>
      <c r="AE664" s="5"/>
      <c r="AF664" s="5" t="s">
        <v>68</v>
      </c>
      <c r="AG664" s="5"/>
      <c r="AH664" s="5"/>
      <c r="AI664" s="5"/>
      <c r="AJ664" s="5" t="s">
        <v>68</v>
      </c>
      <c r="AK664" s="5"/>
      <c r="AL664" s="5"/>
      <c r="AM664" s="5"/>
      <c r="AN664" s="5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</row>
    <row r="665" spans="1:240" ht="30" customHeight="1">
      <c r="A665" s="5">
        <v>663</v>
      </c>
      <c r="B665" s="5" t="s">
        <v>68</v>
      </c>
      <c r="C665" s="5"/>
      <c r="D665" s="5"/>
      <c r="E665" s="5">
        <v>3000</v>
      </c>
      <c r="F665" s="5">
        <v>767</v>
      </c>
      <c r="G665" s="5">
        <v>954</v>
      </c>
      <c r="H665" s="5">
        <v>135</v>
      </c>
      <c r="I665" s="5" t="s">
        <v>13</v>
      </c>
      <c r="J665" s="24">
        <v>7.3351071141959494</v>
      </c>
      <c r="K665" s="30">
        <v>5</v>
      </c>
      <c r="L665" s="5">
        <v>42.3</v>
      </c>
      <c r="M665" s="31">
        <v>10</v>
      </c>
      <c r="N665" s="5" t="s">
        <v>48</v>
      </c>
      <c r="O665" s="5">
        <v>10290</v>
      </c>
      <c r="P665" s="5"/>
      <c r="Q665" s="5"/>
      <c r="R665" s="5">
        <v>3</v>
      </c>
      <c r="S665" s="5">
        <v>500</v>
      </c>
      <c r="T665" s="5">
        <v>560</v>
      </c>
      <c r="U665" s="5">
        <v>680</v>
      </c>
      <c r="V665" s="5">
        <v>0.45</v>
      </c>
      <c r="W665" s="5" t="s">
        <v>99</v>
      </c>
      <c r="X665" s="5">
        <v>33</v>
      </c>
      <c r="Y665" s="5">
        <v>74</v>
      </c>
      <c r="Z665" s="5">
        <v>11.1</v>
      </c>
      <c r="AA665" s="5" t="s">
        <v>68</v>
      </c>
      <c r="AB665" s="5"/>
      <c r="AC665" s="5"/>
      <c r="AD665" s="5"/>
      <c r="AE665" s="5"/>
      <c r="AF665" s="5" t="s">
        <v>68</v>
      </c>
      <c r="AG665" s="5"/>
      <c r="AH665" s="5"/>
      <c r="AI665" s="5"/>
      <c r="AJ665" s="5" t="s">
        <v>68</v>
      </c>
      <c r="AK665" s="5"/>
      <c r="AL665" s="5"/>
      <c r="AM665" s="5"/>
      <c r="AN665" s="5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</row>
    <row r="666" spans="1:240" ht="30" customHeight="1">
      <c r="A666" s="5">
        <v>664</v>
      </c>
      <c r="B666" s="5" t="s">
        <v>68</v>
      </c>
      <c r="C666" s="5"/>
      <c r="D666" s="5"/>
      <c r="E666" s="5">
        <v>3000</v>
      </c>
      <c r="F666" s="5">
        <v>767</v>
      </c>
      <c r="G666" s="5">
        <v>954</v>
      </c>
      <c r="H666" s="5">
        <v>149</v>
      </c>
      <c r="I666" s="5" t="s">
        <v>13</v>
      </c>
      <c r="J666" s="24">
        <v>7.6992613680922029</v>
      </c>
      <c r="K666" s="30">
        <v>5</v>
      </c>
      <c r="L666" s="5">
        <v>44.4</v>
      </c>
      <c r="M666" s="31">
        <v>10</v>
      </c>
      <c r="N666" s="5" t="s">
        <v>48</v>
      </c>
      <c r="O666" s="5">
        <v>9300</v>
      </c>
      <c r="P666" s="5"/>
      <c r="Q666" s="5"/>
      <c r="R666" s="5">
        <v>3</v>
      </c>
      <c r="S666" s="5">
        <v>500</v>
      </c>
      <c r="T666" s="5">
        <v>560</v>
      </c>
      <c r="U666" s="5">
        <v>680</v>
      </c>
      <c r="V666" s="5">
        <v>0.45</v>
      </c>
      <c r="W666" s="5" t="s">
        <v>99</v>
      </c>
      <c r="X666" s="5">
        <v>33</v>
      </c>
      <c r="Y666" s="5">
        <v>111</v>
      </c>
      <c r="Z666" s="5">
        <v>16.5</v>
      </c>
      <c r="AA666" s="5" t="s">
        <v>68</v>
      </c>
      <c r="AB666" s="5"/>
      <c r="AC666" s="5"/>
      <c r="AD666" s="5"/>
      <c r="AE666" s="5"/>
      <c r="AF666" s="5" t="s">
        <v>68</v>
      </c>
      <c r="AG666" s="5"/>
      <c r="AH666" s="5"/>
      <c r="AI666" s="5"/>
      <c r="AJ666" s="5" t="s">
        <v>68</v>
      </c>
      <c r="AK666" s="5"/>
      <c r="AL666" s="5"/>
      <c r="AM666" s="5"/>
      <c r="AN666" s="5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</row>
    <row r="667" spans="1:240" ht="30" customHeight="1">
      <c r="A667" s="5">
        <v>665</v>
      </c>
      <c r="B667" s="5" t="s">
        <v>68</v>
      </c>
      <c r="C667" s="5"/>
      <c r="D667" s="5"/>
      <c r="E667" s="5">
        <v>3000</v>
      </c>
      <c r="F667" s="5">
        <v>767</v>
      </c>
      <c r="G667" s="5">
        <v>954</v>
      </c>
      <c r="H667" s="5">
        <v>162</v>
      </c>
      <c r="I667" s="5" t="s">
        <v>13</v>
      </c>
      <c r="J667" s="24">
        <v>7.9073495131757765</v>
      </c>
      <c r="K667" s="30">
        <v>5</v>
      </c>
      <c r="L667" s="5">
        <v>45.6</v>
      </c>
      <c r="M667" s="31">
        <v>10</v>
      </c>
      <c r="N667" s="5" t="s">
        <v>48</v>
      </c>
      <c r="O667" s="5">
        <v>9510</v>
      </c>
      <c r="P667" s="5"/>
      <c r="Q667" s="5"/>
      <c r="R667" s="5">
        <v>3</v>
      </c>
      <c r="S667" s="5">
        <v>500</v>
      </c>
      <c r="T667" s="5">
        <v>560</v>
      </c>
      <c r="U667" s="5">
        <v>680</v>
      </c>
      <c r="V667" s="5">
        <v>0.45</v>
      </c>
      <c r="W667" s="5" t="s">
        <v>99</v>
      </c>
      <c r="X667" s="5">
        <v>33</v>
      </c>
      <c r="Y667" s="5">
        <v>149</v>
      </c>
      <c r="Z667" s="5">
        <v>21.9</v>
      </c>
      <c r="AA667" s="5" t="s">
        <v>68</v>
      </c>
      <c r="AB667" s="5"/>
      <c r="AC667" s="5"/>
      <c r="AD667" s="5"/>
      <c r="AE667" s="5"/>
      <c r="AF667" s="5" t="s">
        <v>68</v>
      </c>
      <c r="AG667" s="5"/>
      <c r="AH667" s="5"/>
      <c r="AI667" s="5"/>
      <c r="AJ667" s="5" t="s">
        <v>68</v>
      </c>
      <c r="AK667" s="5"/>
      <c r="AL667" s="5"/>
      <c r="AM667" s="5"/>
      <c r="AN667" s="5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</row>
    <row r="668" spans="1:240" ht="30" customHeight="1">
      <c r="A668" s="5">
        <v>666</v>
      </c>
      <c r="B668" s="5" t="s">
        <v>68</v>
      </c>
      <c r="C668" s="5"/>
      <c r="D668" s="5"/>
      <c r="E668" s="5">
        <v>2120</v>
      </c>
      <c r="F668" s="5">
        <v>1517</v>
      </c>
      <c r="G668" s="5">
        <v>954</v>
      </c>
      <c r="H668" s="5">
        <v>178</v>
      </c>
      <c r="I668" s="5" t="s">
        <v>13</v>
      </c>
      <c r="J668" s="24">
        <v>9.7801428189279331</v>
      </c>
      <c r="K668" s="30">
        <v>5</v>
      </c>
      <c r="L668" s="5">
        <v>56.4</v>
      </c>
      <c r="M668" s="31">
        <v>10</v>
      </c>
      <c r="N668" s="5" t="s">
        <v>48</v>
      </c>
      <c r="O668" s="5">
        <v>13720</v>
      </c>
      <c r="P668" s="5"/>
      <c r="Q668" s="5"/>
      <c r="R668" s="5">
        <v>4</v>
      </c>
      <c r="S668" s="5">
        <v>500</v>
      </c>
      <c r="T668" s="5">
        <v>560</v>
      </c>
      <c r="U668" s="5">
        <v>680</v>
      </c>
      <c r="V668" s="5">
        <v>0.6</v>
      </c>
      <c r="W668" s="5" t="s">
        <v>99</v>
      </c>
      <c r="X668" s="5">
        <v>34</v>
      </c>
      <c r="Y668" s="5">
        <v>99</v>
      </c>
      <c r="Z668" s="5">
        <v>14.8</v>
      </c>
      <c r="AA668" s="5" t="s">
        <v>68</v>
      </c>
      <c r="AB668" s="5"/>
      <c r="AC668" s="5"/>
      <c r="AD668" s="5"/>
      <c r="AE668" s="5"/>
      <c r="AF668" s="5" t="s">
        <v>68</v>
      </c>
      <c r="AG668" s="5"/>
      <c r="AH668" s="5"/>
      <c r="AI668" s="5"/>
      <c r="AJ668" s="5" t="s">
        <v>68</v>
      </c>
      <c r="AK668" s="5"/>
      <c r="AL668" s="5"/>
      <c r="AM668" s="5"/>
      <c r="AN668" s="5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</row>
    <row r="669" spans="1:240" ht="30" customHeight="1">
      <c r="A669" s="5">
        <v>667</v>
      </c>
      <c r="B669" s="5" t="s">
        <v>68</v>
      </c>
      <c r="C669" s="5"/>
      <c r="D669" s="5"/>
      <c r="E669" s="5">
        <v>2120</v>
      </c>
      <c r="F669" s="5">
        <v>1517</v>
      </c>
      <c r="G669" s="5">
        <v>954</v>
      </c>
      <c r="H669" s="5">
        <v>200</v>
      </c>
      <c r="I669" s="5" t="s">
        <v>13</v>
      </c>
      <c r="J669" s="24">
        <v>10.265681824122938</v>
      </c>
      <c r="K669" s="30">
        <v>5</v>
      </c>
      <c r="L669" s="5">
        <v>59.2</v>
      </c>
      <c r="M669" s="31">
        <v>10</v>
      </c>
      <c r="N669" s="5" t="s">
        <v>48</v>
      </c>
      <c r="O669" s="5">
        <v>12400</v>
      </c>
      <c r="P669" s="5"/>
      <c r="Q669" s="5"/>
      <c r="R669" s="5">
        <v>4</v>
      </c>
      <c r="S669" s="5">
        <v>500</v>
      </c>
      <c r="T669" s="5">
        <v>560</v>
      </c>
      <c r="U669" s="5">
        <v>680</v>
      </c>
      <c r="V669" s="5">
        <v>0.6</v>
      </c>
      <c r="W669" s="5" t="s">
        <v>99</v>
      </c>
      <c r="X669" s="5">
        <v>34</v>
      </c>
      <c r="Y669" s="5">
        <v>149</v>
      </c>
      <c r="Z669" s="5">
        <v>22</v>
      </c>
      <c r="AA669" s="5" t="s">
        <v>68</v>
      </c>
      <c r="AB669" s="5"/>
      <c r="AC669" s="5"/>
      <c r="AD669" s="5"/>
      <c r="AE669" s="5"/>
      <c r="AF669" s="5" t="s">
        <v>68</v>
      </c>
      <c r="AG669" s="5"/>
      <c r="AH669" s="5"/>
      <c r="AI669" s="5"/>
      <c r="AJ669" s="5" t="s">
        <v>68</v>
      </c>
      <c r="AK669" s="5"/>
      <c r="AL669" s="5"/>
      <c r="AM669" s="5"/>
      <c r="AN669" s="5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</row>
    <row r="670" spans="1:240" ht="30" customHeight="1">
      <c r="A670" s="5">
        <v>668</v>
      </c>
      <c r="B670" s="5" t="s">
        <v>68</v>
      </c>
      <c r="C670" s="5"/>
      <c r="D670" s="5"/>
      <c r="E670" s="5">
        <v>2120</v>
      </c>
      <c r="F670" s="5">
        <v>1517</v>
      </c>
      <c r="G670" s="5">
        <v>954</v>
      </c>
      <c r="H670" s="5">
        <v>218</v>
      </c>
      <c r="I670" s="5" t="s">
        <v>13</v>
      </c>
      <c r="J670" s="24">
        <v>10.543132684234367</v>
      </c>
      <c r="K670" s="30">
        <v>5</v>
      </c>
      <c r="L670" s="5">
        <v>60.8</v>
      </c>
      <c r="M670" s="31">
        <v>10</v>
      </c>
      <c r="N670" s="5" t="s">
        <v>48</v>
      </c>
      <c r="O670" s="5">
        <v>12680</v>
      </c>
      <c r="P670" s="5"/>
      <c r="Q670" s="5"/>
      <c r="R670" s="5">
        <v>4</v>
      </c>
      <c r="S670" s="5">
        <v>500</v>
      </c>
      <c r="T670" s="5">
        <v>560</v>
      </c>
      <c r="U670" s="5">
        <v>680</v>
      </c>
      <c r="V670" s="5">
        <v>0.6</v>
      </c>
      <c r="W670" s="5" t="s">
        <v>99</v>
      </c>
      <c r="X670" s="5">
        <v>34</v>
      </c>
      <c r="Y670" s="5">
        <v>198</v>
      </c>
      <c r="Z670" s="5">
        <v>29.2</v>
      </c>
      <c r="AA670" s="5" t="s">
        <v>68</v>
      </c>
      <c r="AB670" s="5"/>
      <c r="AC670" s="5"/>
      <c r="AD670" s="5"/>
      <c r="AE670" s="5"/>
      <c r="AF670" s="5" t="s">
        <v>68</v>
      </c>
      <c r="AG670" s="5"/>
      <c r="AH670" s="5"/>
      <c r="AI670" s="5"/>
      <c r="AJ670" s="5" t="s">
        <v>68</v>
      </c>
      <c r="AK670" s="5"/>
      <c r="AL670" s="5"/>
      <c r="AM670" s="5"/>
      <c r="AN670" s="5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</row>
    <row r="671" spans="1:240" ht="30" customHeight="1">
      <c r="A671" s="5">
        <v>669</v>
      </c>
      <c r="B671" s="5" t="s">
        <v>68</v>
      </c>
      <c r="C671" s="5"/>
      <c r="D671" s="5"/>
      <c r="E671" s="5">
        <v>3000</v>
      </c>
      <c r="F671" s="5">
        <v>1517</v>
      </c>
      <c r="G671" s="5">
        <v>954</v>
      </c>
      <c r="H671" s="5">
        <v>253</v>
      </c>
      <c r="I671" s="5" t="s">
        <v>13</v>
      </c>
      <c r="J671" s="24">
        <v>14.670214228391899</v>
      </c>
      <c r="K671" s="30">
        <v>5</v>
      </c>
      <c r="L671" s="5">
        <v>84.6</v>
      </c>
      <c r="M671" s="31">
        <v>10</v>
      </c>
      <c r="N671" s="5" t="s">
        <v>48</v>
      </c>
      <c r="O671" s="5">
        <v>20580</v>
      </c>
      <c r="P671" s="5"/>
      <c r="Q671" s="5"/>
      <c r="R671" s="5">
        <v>6</v>
      </c>
      <c r="S671" s="5">
        <v>500</v>
      </c>
      <c r="T671" s="5">
        <v>560</v>
      </c>
      <c r="U671" s="5">
        <v>680</v>
      </c>
      <c r="V671" s="5">
        <v>0.9</v>
      </c>
      <c r="W671" s="5" t="s">
        <v>99</v>
      </c>
      <c r="X671" s="5">
        <v>36</v>
      </c>
      <c r="Y671" s="5">
        <v>149</v>
      </c>
      <c r="Z671" s="5">
        <v>22.2</v>
      </c>
      <c r="AA671" s="5" t="s">
        <v>68</v>
      </c>
      <c r="AB671" s="5"/>
      <c r="AC671" s="5"/>
      <c r="AD671" s="5"/>
      <c r="AE671" s="5"/>
      <c r="AF671" s="5" t="s">
        <v>68</v>
      </c>
      <c r="AG671" s="5"/>
      <c r="AH671" s="5"/>
      <c r="AI671" s="5"/>
      <c r="AJ671" s="5" t="s">
        <v>68</v>
      </c>
      <c r="AK671" s="5"/>
      <c r="AL671" s="5"/>
      <c r="AM671" s="5"/>
      <c r="AN671" s="5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</row>
    <row r="672" spans="1:240" ht="30" customHeight="1">
      <c r="A672" s="5">
        <v>670</v>
      </c>
      <c r="B672" s="5" t="s">
        <v>68</v>
      </c>
      <c r="C672" s="5"/>
      <c r="D672" s="5"/>
      <c r="E672" s="5">
        <v>3000</v>
      </c>
      <c r="F672" s="5">
        <v>1517</v>
      </c>
      <c r="G672" s="5">
        <v>954</v>
      </c>
      <c r="H672" s="5">
        <v>280</v>
      </c>
      <c r="I672" s="5" t="s">
        <v>13</v>
      </c>
      <c r="J672" s="24">
        <v>15.398522736184406</v>
      </c>
      <c r="K672" s="30">
        <v>5</v>
      </c>
      <c r="L672" s="5">
        <v>88.8</v>
      </c>
      <c r="M672" s="31">
        <v>10</v>
      </c>
      <c r="N672" s="5" t="s">
        <v>48</v>
      </c>
      <c r="O672" s="5">
        <v>18600</v>
      </c>
      <c r="P672" s="5"/>
      <c r="Q672" s="5"/>
      <c r="R672" s="5">
        <v>6</v>
      </c>
      <c r="S672" s="5">
        <v>500</v>
      </c>
      <c r="T672" s="5">
        <v>560</v>
      </c>
      <c r="U672" s="5">
        <v>680</v>
      </c>
      <c r="V672" s="5">
        <v>0.9</v>
      </c>
      <c r="W672" s="5" t="s">
        <v>99</v>
      </c>
      <c r="X672" s="5">
        <v>36</v>
      </c>
      <c r="Y672" s="5">
        <v>223</v>
      </c>
      <c r="Z672" s="5">
        <v>33</v>
      </c>
      <c r="AA672" s="5" t="s">
        <v>68</v>
      </c>
      <c r="AB672" s="5"/>
      <c r="AC672" s="5"/>
      <c r="AD672" s="5"/>
      <c r="AE672" s="5"/>
      <c r="AF672" s="5" t="s">
        <v>68</v>
      </c>
      <c r="AG672" s="5"/>
      <c r="AH672" s="5"/>
      <c r="AI672" s="5"/>
      <c r="AJ672" s="5" t="s">
        <v>68</v>
      </c>
      <c r="AK672" s="5"/>
      <c r="AL672" s="5"/>
      <c r="AM672" s="5"/>
      <c r="AN672" s="5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</row>
    <row r="673" spans="1:240" ht="30" customHeight="1">
      <c r="A673" s="5">
        <v>671</v>
      </c>
      <c r="B673" s="5" t="s">
        <v>68</v>
      </c>
      <c r="C673" s="5"/>
      <c r="D673" s="5"/>
      <c r="E673" s="5">
        <v>3000</v>
      </c>
      <c r="F673" s="5">
        <v>1517</v>
      </c>
      <c r="G673" s="5">
        <v>954</v>
      </c>
      <c r="H673" s="5">
        <v>308</v>
      </c>
      <c r="I673" s="5" t="s">
        <v>13</v>
      </c>
      <c r="J673" s="24">
        <v>15.814699026351553</v>
      </c>
      <c r="K673" s="30">
        <v>5</v>
      </c>
      <c r="L673" s="5">
        <v>91.2</v>
      </c>
      <c r="M673" s="31">
        <v>10</v>
      </c>
      <c r="N673" s="5" t="s">
        <v>48</v>
      </c>
      <c r="O673" s="5">
        <v>19020</v>
      </c>
      <c r="P673" s="5"/>
      <c r="Q673" s="5"/>
      <c r="R673" s="5">
        <v>6</v>
      </c>
      <c r="S673" s="5">
        <v>500</v>
      </c>
      <c r="T673" s="5">
        <v>560</v>
      </c>
      <c r="U673" s="5">
        <v>680</v>
      </c>
      <c r="V673" s="5">
        <v>0.9</v>
      </c>
      <c r="W673" s="5" t="s">
        <v>99</v>
      </c>
      <c r="X673" s="5">
        <v>36</v>
      </c>
      <c r="Y673" s="5">
        <v>297</v>
      </c>
      <c r="Z673" s="5">
        <v>43.8</v>
      </c>
      <c r="AA673" s="5" t="s">
        <v>68</v>
      </c>
      <c r="AB673" s="5"/>
      <c r="AC673" s="5"/>
      <c r="AD673" s="5"/>
      <c r="AE673" s="5"/>
      <c r="AF673" s="5" t="s">
        <v>68</v>
      </c>
      <c r="AG673" s="5"/>
      <c r="AH673" s="5"/>
      <c r="AI673" s="5"/>
      <c r="AJ673" s="5" t="s">
        <v>68</v>
      </c>
      <c r="AK673" s="5"/>
      <c r="AL673" s="5"/>
      <c r="AM673" s="5"/>
      <c r="AN673" s="5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</row>
    <row r="674" spans="1:240" ht="30" customHeight="1">
      <c r="A674" s="5">
        <v>672</v>
      </c>
      <c r="B674" s="5" t="s">
        <v>68</v>
      </c>
      <c r="C674" s="5"/>
      <c r="D674" s="5"/>
      <c r="E674" s="5">
        <v>1240</v>
      </c>
      <c r="F674" s="5">
        <v>767</v>
      </c>
      <c r="G674" s="5">
        <v>954</v>
      </c>
      <c r="H674" s="5">
        <v>58</v>
      </c>
      <c r="I674" s="5" t="s">
        <v>13</v>
      </c>
      <c r="J674" s="24">
        <v>1.9594966995369798</v>
      </c>
      <c r="K674" s="30">
        <v>5</v>
      </c>
      <c r="L674" s="5">
        <v>11.3</v>
      </c>
      <c r="M674" s="31">
        <v>10</v>
      </c>
      <c r="N674" s="5" t="s">
        <v>48</v>
      </c>
      <c r="O674" s="5">
        <v>2540</v>
      </c>
      <c r="P674" s="5"/>
      <c r="Q674" s="5"/>
      <c r="R674" s="5">
        <v>1</v>
      </c>
      <c r="S674" s="5">
        <v>500</v>
      </c>
      <c r="T674" s="5">
        <v>340</v>
      </c>
      <c r="U674" s="5">
        <v>560</v>
      </c>
      <c r="V674" s="5">
        <v>0.1</v>
      </c>
      <c r="W674" s="5" t="s">
        <v>99</v>
      </c>
      <c r="X674" s="5">
        <v>27</v>
      </c>
      <c r="Y674" s="5">
        <v>25</v>
      </c>
      <c r="Z674" s="5">
        <v>3.7</v>
      </c>
      <c r="AA674" s="5" t="s">
        <v>68</v>
      </c>
      <c r="AB674" s="5"/>
      <c r="AC674" s="5"/>
      <c r="AD674" s="5"/>
      <c r="AE674" s="5"/>
      <c r="AF674" s="5" t="s">
        <v>68</v>
      </c>
      <c r="AG674" s="5"/>
      <c r="AH674" s="5"/>
      <c r="AI674" s="5"/>
      <c r="AJ674" s="5" t="s">
        <v>68</v>
      </c>
      <c r="AK674" s="5"/>
      <c r="AL674" s="5"/>
      <c r="AM674" s="5"/>
      <c r="AN674" s="5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</row>
    <row r="675" spans="1:240" ht="30" customHeight="1">
      <c r="A675" s="5">
        <v>673</v>
      </c>
      <c r="B675" s="5" t="s">
        <v>68</v>
      </c>
      <c r="C675" s="5"/>
      <c r="D675" s="5"/>
      <c r="E675" s="5">
        <v>1240</v>
      </c>
      <c r="F675" s="5">
        <v>767</v>
      </c>
      <c r="G675" s="5">
        <v>954</v>
      </c>
      <c r="H675" s="5">
        <v>63</v>
      </c>
      <c r="I675" s="5" t="s">
        <v>13</v>
      </c>
      <c r="J675" s="24">
        <v>1.9421560207800153</v>
      </c>
      <c r="K675" s="30">
        <v>5</v>
      </c>
      <c r="L675" s="5">
        <v>11.2</v>
      </c>
      <c r="M675" s="31">
        <v>10</v>
      </c>
      <c r="N675" s="5" t="s">
        <v>48</v>
      </c>
      <c r="O675" s="5">
        <v>2260</v>
      </c>
      <c r="P675" s="5"/>
      <c r="Q675" s="5"/>
      <c r="R675" s="5">
        <v>1</v>
      </c>
      <c r="S675" s="5">
        <v>500</v>
      </c>
      <c r="T675" s="5">
        <v>340</v>
      </c>
      <c r="U675" s="5">
        <v>560</v>
      </c>
      <c r="V675" s="5">
        <v>0.1</v>
      </c>
      <c r="W675" s="5" t="s">
        <v>99</v>
      </c>
      <c r="X675" s="5">
        <v>27</v>
      </c>
      <c r="Y675" s="5">
        <v>37</v>
      </c>
      <c r="Z675" s="5">
        <v>5.5</v>
      </c>
      <c r="AA675" s="5" t="s">
        <v>68</v>
      </c>
      <c r="AB675" s="5"/>
      <c r="AC675" s="5"/>
      <c r="AD675" s="5"/>
      <c r="AE675" s="5"/>
      <c r="AF675" s="5" t="s">
        <v>68</v>
      </c>
      <c r="AG675" s="5"/>
      <c r="AH675" s="5"/>
      <c r="AI675" s="5"/>
      <c r="AJ675" s="5" t="s">
        <v>68</v>
      </c>
      <c r="AK675" s="5"/>
      <c r="AL675" s="5"/>
      <c r="AM675" s="5"/>
      <c r="AN675" s="5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</row>
    <row r="676" spans="1:240" ht="30" customHeight="1">
      <c r="A676" s="5">
        <v>674</v>
      </c>
      <c r="B676" s="5" t="s">
        <v>68</v>
      </c>
      <c r="C676" s="5"/>
      <c r="D676" s="5"/>
      <c r="E676" s="5">
        <v>1240</v>
      </c>
      <c r="F676" s="5">
        <v>767</v>
      </c>
      <c r="G676" s="5">
        <v>954</v>
      </c>
      <c r="H676" s="5">
        <v>68</v>
      </c>
      <c r="I676" s="5" t="s">
        <v>13</v>
      </c>
      <c r="J676" s="24">
        <v>1.9421560207800153</v>
      </c>
      <c r="K676" s="30">
        <v>5</v>
      </c>
      <c r="L676" s="5">
        <v>11.2</v>
      </c>
      <c r="M676" s="31">
        <v>10</v>
      </c>
      <c r="N676" s="5" t="s">
        <v>48</v>
      </c>
      <c r="O676" s="5">
        <v>2260</v>
      </c>
      <c r="P676" s="5"/>
      <c r="Q676" s="5"/>
      <c r="R676" s="5">
        <v>1</v>
      </c>
      <c r="S676" s="5">
        <v>500</v>
      </c>
      <c r="T676" s="5">
        <v>340</v>
      </c>
      <c r="U676" s="5">
        <v>560</v>
      </c>
      <c r="V676" s="5">
        <v>0.1</v>
      </c>
      <c r="W676" s="5" t="s">
        <v>99</v>
      </c>
      <c r="X676" s="5">
        <v>27</v>
      </c>
      <c r="Y676" s="5">
        <v>50</v>
      </c>
      <c r="Z676" s="5">
        <v>7.3</v>
      </c>
      <c r="AA676" s="5" t="s">
        <v>68</v>
      </c>
      <c r="AB676" s="5"/>
      <c r="AC676" s="5"/>
      <c r="AD676" s="5"/>
      <c r="AE676" s="5"/>
      <c r="AF676" s="5" t="s">
        <v>68</v>
      </c>
      <c r="AG676" s="5"/>
      <c r="AH676" s="5"/>
      <c r="AI676" s="5"/>
      <c r="AJ676" s="5" t="s">
        <v>68</v>
      </c>
      <c r="AK676" s="5"/>
      <c r="AL676" s="5"/>
      <c r="AM676" s="5"/>
      <c r="AN676" s="5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</row>
    <row r="677" spans="1:240" ht="30" customHeight="1">
      <c r="A677" s="5">
        <v>675</v>
      </c>
      <c r="B677" s="5" t="s">
        <v>68</v>
      </c>
      <c r="C677" s="5"/>
      <c r="D677" s="5"/>
      <c r="E677" s="5">
        <v>2120</v>
      </c>
      <c r="F677" s="5">
        <v>767</v>
      </c>
      <c r="G677" s="5">
        <v>954</v>
      </c>
      <c r="H677" s="5">
        <v>92</v>
      </c>
      <c r="I677" s="5" t="s">
        <v>13</v>
      </c>
      <c r="J677" s="24">
        <v>3.9016527203169944</v>
      </c>
      <c r="K677" s="30">
        <v>5</v>
      </c>
      <c r="L677" s="5">
        <v>22.5</v>
      </c>
      <c r="M677" s="31">
        <v>10</v>
      </c>
      <c r="N677" s="5" t="s">
        <v>48</v>
      </c>
      <c r="O677" s="5">
        <v>5080</v>
      </c>
      <c r="P677" s="5"/>
      <c r="Q677" s="5"/>
      <c r="R677" s="5">
        <v>2</v>
      </c>
      <c r="S677" s="5">
        <v>500</v>
      </c>
      <c r="T677" s="5">
        <v>340</v>
      </c>
      <c r="U677" s="5">
        <v>560</v>
      </c>
      <c r="V677" s="5">
        <v>0.2</v>
      </c>
      <c r="W677" s="5" t="s">
        <v>99</v>
      </c>
      <c r="X677" s="5">
        <v>30</v>
      </c>
      <c r="Y677" s="5">
        <v>50</v>
      </c>
      <c r="Z677" s="5">
        <v>7.4</v>
      </c>
      <c r="AA677" s="5" t="s">
        <v>68</v>
      </c>
      <c r="AB677" s="5"/>
      <c r="AC677" s="5"/>
      <c r="AD677" s="5"/>
      <c r="AE677" s="5"/>
      <c r="AF677" s="5" t="s">
        <v>68</v>
      </c>
      <c r="AG677" s="5"/>
      <c r="AH677" s="5"/>
      <c r="AI677" s="5"/>
      <c r="AJ677" s="5" t="s">
        <v>68</v>
      </c>
      <c r="AK677" s="5"/>
      <c r="AL677" s="5"/>
      <c r="AM677" s="5"/>
      <c r="AN677" s="5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</row>
    <row r="678" spans="1:240" ht="30" customHeight="1">
      <c r="A678" s="5">
        <v>676</v>
      </c>
      <c r="B678" s="5" t="s">
        <v>68</v>
      </c>
      <c r="C678" s="5"/>
      <c r="D678" s="5"/>
      <c r="E678" s="5">
        <v>2120</v>
      </c>
      <c r="F678" s="5">
        <v>767</v>
      </c>
      <c r="G678" s="5">
        <v>954</v>
      </c>
      <c r="H678" s="5">
        <v>102</v>
      </c>
      <c r="I678" s="5" t="s">
        <v>13</v>
      </c>
      <c r="J678" s="24">
        <v>3.8843120415600305</v>
      </c>
      <c r="K678" s="30">
        <v>5</v>
      </c>
      <c r="L678" s="5">
        <v>22.4</v>
      </c>
      <c r="M678" s="31">
        <v>10</v>
      </c>
      <c r="N678" s="5" t="s">
        <v>48</v>
      </c>
      <c r="O678" s="5">
        <v>4520</v>
      </c>
      <c r="P678" s="5"/>
      <c r="Q678" s="5"/>
      <c r="R678" s="5">
        <v>2</v>
      </c>
      <c r="S678" s="5">
        <v>500</v>
      </c>
      <c r="T678" s="5">
        <v>340</v>
      </c>
      <c r="U678" s="5">
        <v>560</v>
      </c>
      <c r="V678" s="5">
        <v>0.2</v>
      </c>
      <c r="W678" s="5" t="s">
        <v>99</v>
      </c>
      <c r="X678" s="5">
        <v>30</v>
      </c>
      <c r="Y678" s="5">
        <v>74</v>
      </c>
      <c r="Z678" s="5">
        <v>11</v>
      </c>
      <c r="AA678" s="5" t="s">
        <v>68</v>
      </c>
      <c r="AB678" s="5"/>
      <c r="AC678" s="5"/>
      <c r="AD678" s="5"/>
      <c r="AE678" s="5"/>
      <c r="AF678" s="5" t="s">
        <v>68</v>
      </c>
      <c r="AG678" s="5"/>
      <c r="AH678" s="5"/>
      <c r="AI678" s="5"/>
      <c r="AJ678" s="5" t="s">
        <v>68</v>
      </c>
      <c r="AK678" s="5"/>
      <c r="AL678" s="5"/>
      <c r="AM678" s="5"/>
      <c r="AN678" s="5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</row>
    <row r="679" spans="1:240" ht="30" customHeight="1">
      <c r="A679" s="5">
        <v>677</v>
      </c>
      <c r="B679" s="5" t="s">
        <v>68</v>
      </c>
      <c r="C679" s="5"/>
      <c r="D679" s="5"/>
      <c r="E679" s="5">
        <v>2120</v>
      </c>
      <c r="F679" s="5">
        <v>767</v>
      </c>
      <c r="G679" s="5">
        <v>954</v>
      </c>
      <c r="H679" s="5">
        <v>111</v>
      </c>
      <c r="I679" s="5" t="s">
        <v>13</v>
      </c>
      <c r="J679" s="24">
        <v>3.8843120415600305</v>
      </c>
      <c r="K679" s="30">
        <v>5</v>
      </c>
      <c r="L679" s="5">
        <v>22.4</v>
      </c>
      <c r="M679" s="31">
        <v>10</v>
      </c>
      <c r="N679" s="5" t="s">
        <v>48</v>
      </c>
      <c r="O679" s="5">
        <v>4520</v>
      </c>
      <c r="P679" s="5"/>
      <c r="Q679" s="5"/>
      <c r="R679" s="5">
        <v>2</v>
      </c>
      <c r="S679" s="5">
        <v>500</v>
      </c>
      <c r="T679" s="5">
        <v>340</v>
      </c>
      <c r="U679" s="5">
        <v>560</v>
      </c>
      <c r="V679" s="5">
        <v>0.2</v>
      </c>
      <c r="W679" s="5" t="s">
        <v>99</v>
      </c>
      <c r="X679" s="5">
        <v>30</v>
      </c>
      <c r="Y679" s="5">
        <v>99</v>
      </c>
      <c r="Z679" s="5">
        <v>14.6</v>
      </c>
      <c r="AA679" s="5" t="s">
        <v>68</v>
      </c>
      <c r="AB679" s="5"/>
      <c r="AC679" s="5"/>
      <c r="AD679" s="5"/>
      <c r="AE679" s="5"/>
      <c r="AF679" s="5" t="s">
        <v>68</v>
      </c>
      <c r="AG679" s="5"/>
      <c r="AH679" s="5"/>
      <c r="AI679" s="5"/>
      <c r="AJ679" s="5" t="s">
        <v>68</v>
      </c>
      <c r="AK679" s="5"/>
      <c r="AL679" s="5"/>
      <c r="AM679" s="5"/>
      <c r="AN679" s="5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</row>
    <row r="680" spans="1:240" ht="30" customHeight="1">
      <c r="A680" s="5">
        <v>678</v>
      </c>
      <c r="B680" s="5" t="s">
        <v>68</v>
      </c>
      <c r="C680" s="5"/>
      <c r="D680" s="5"/>
      <c r="E680" s="5">
        <v>3000</v>
      </c>
      <c r="F680" s="5">
        <v>767</v>
      </c>
      <c r="G680" s="5">
        <v>954</v>
      </c>
      <c r="H680" s="5">
        <v>126</v>
      </c>
      <c r="I680" s="5" t="s">
        <v>13</v>
      </c>
      <c r="J680" s="24">
        <v>5.8611494198539749</v>
      </c>
      <c r="K680" s="30">
        <v>5</v>
      </c>
      <c r="L680" s="5">
        <v>33.799999999999997</v>
      </c>
      <c r="M680" s="31">
        <v>10</v>
      </c>
      <c r="N680" s="5" t="s">
        <v>48</v>
      </c>
      <c r="O680" s="5">
        <v>7620</v>
      </c>
      <c r="P680" s="5"/>
      <c r="Q680" s="5"/>
      <c r="R680" s="5">
        <v>3</v>
      </c>
      <c r="S680" s="5">
        <v>500</v>
      </c>
      <c r="T680" s="5">
        <v>340</v>
      </c>
      <c r="U680" s="5">
        <v>560</v>
      </c>
      <c r="V680" s="5">
        <v>0.3</v>
      </c>
      <c r="W680" s="5" t="s">
        <v>99</v>
      </c>
      <c r="X680" s="5">
        <v>31</v>
      </c>
      <c r="Y680" s="5">
        <v>74</v>
      </c>
      <c r="Z680" s="5">
        <v>11.1</v>
      </c>
      <c r="AA680" s="5" t="s">
        <v>68</v>
      </c>
      <c r="AB680" s="5"/>
      <c r="AC680" s="5"/>
      <c r="AD680" s="5"/>
      <c r="AE680" s="5"/>
      <c r="AF680" s="5" t="s">
        <v>68</v>
      </c>
      <c r="AG680" s="5"/>
      <c r="AH680" s="5"/>
      <c r="AI680" s="5"/>
      <c r="AJ680" s="5" t="s">
        <v>68</v>
      </c>
      <c r="AK680" s="5"/>
      <c r="AL680" s="5"/>
      <c r="AM680" s="5"/>
      <c r="AN680" s="5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</row>
    <row r="681" spans="1:240" ht="30" customHeight="1">
      <c r="A681" s="5">
        <v>679</v>
      </c>
      <c r="B681" s="5" t="s">
        <v>68</v>
      </c>
      <c r="C681" s="5"/>
      <c r="D681" s="5"/>
      <c r="E681" s="5">
        <v>3000</v>
      </c>
      <c r="F681" s="5">
        <v>767</v>
      </c>
      <c r="G681" s="5">
        <v>954</v>
      </c>
      <c r="H681" s="5">
        <v>139</v>
      </c>
      <c r="I681" s="5" t="s">
        <v>13</v>
      </c>
      <c r="J681" s="24">
        <v>5.8264680623400453</v>
      </c>
      <c r="K681" s="30">
        <v>5</v>
      </c>
      <c r="L681" s="5">
        <v>33.6</v>
      </c>
      <c r="M681" s="31">
        <v>10</v>
      </c>
      <c r="N681" s="5" t="s">
        <v>48</v>
      </c>
      <c r="O681" s="5">
        <v>6780</v>
      </c>
      <c r="P681" s="5"/>
      <c r="Q681" s="5"/>
      <c r="R681" s="5">
        <v>3</v>
      </c>
      <c r="S681" s="5">
        <v>500</v>
      </c>
      <c r="T681" s="5">
        <v>340</v>
      </c>
      <c r="U681" s="5">
        <v>560</v>
      </c>
      <c r="V681" s="5">
        <v>0.3</v>
      </c>
      <c r="W681" s="5" t="s">
        <v>99</v>
      </c>
      <c r="X681" s="5">
        <v>31</v>
      </c>
      <c r="Y681" s="5">
        <v>111</v>
      </c>
      <c r="Z681" s="5">
        <v>16.5</v>
      </c>
      <c r="AA681" s="5" t="s">
        <v>68</v>
      </c>
      <c r="AB681" s="5"/>
      <c r="AC681" s="5"/>
      <c r="AD681" s="5"/>
      <c r="AE681" s="5"/>
      <c r="AF681" s="5" t="s">
        <v>68</v>
      </c>
      <c r="AG681" s="5"/>
      <c r="AH681" s="5"/>
      <c r="AI681" s="5"/>
      <c r="AJ681" s="5" t="s">
        <v>68</v>
      </c>
      <c r="AK681" s="5"/>
      <c r="AL681" s="5"/>
      <c r="AM681" s="5"/>
      <c r="AN681" s="5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</row>
    <row r="682" spans="1:240" ht="30" customHeight="1">
      <c r="A682" s="5">
        <v>680</v>
      </c>
      <c r="B682" s="5" t="s">
        <v>68</v>
      </c>
      <c r="C682" s="5"/>
      <c r="D682" s="5"/>
      <c r="E682" s="5">
        <v>3000</v>
      </c>
      <c r="F682" s="5">
        <v>767</v>
      </c>
      <c r="G682" s="5">
        <v>954</v>
      </c>
      <c r="H682" s="5">
        <v>154</v>
      </c>
      <c r="I682" s="5" t="s">
        <v>13</v>
      </c>
      <c r="J682" s="24">
        <v>5.8264680623400453</v>
      </c>
      <c r="K682" s="30">
        <v>5</v>
      </c>
      <c r="L682" s="5">
        <v>33.6</v>
      </c>
      <c r="M682" s="31">
        <v>10</v>
      </c>
      <c r="N682" s="5" t="s">
        <v>48</v>
      </c>
      <c r="O682" s="5">
        <v>6780</v>
      </c>
      <c r="P682" s="5"/>
      <c r="Q682" s="5"/>
      <c r="R682" s="5">
        <v>3</v>
      </c>
      <c r="S682" s="5">
        <v>500</v>
      </c>
      <c r="T682" s="5">
        <v>340</v>
      </c>
      <c r="U682" s="5">
        <v>560</v>
      </c>
      <c r="V682" s="5">
        <v>0.3</v>
      </c>
      <c r="W682" s="5" t="s">
        <v>99</v>
      </c>
      <c r="X682" s="5">
        <v>31</v>
      </c>
      <c r="Y682" s="5">
        <v>149</v>
      </c>
      <c r="Z682" s="5">
        <v>21.9</v>
      </c>
      <c r="AA682" s="5" t="s">
        <v>68</v>
      </c>
      <c r="AB682" s="5"/>
      <c r="AC682" s="5"/>
      <c r="AD682" s="5"/>
      <c r="AE682" s="5"/>
      <c r="AF682" s="5" t="s">
        <v>68</v>
      </c>
      <c r="AG682" s="5"/>
      <c r="AH682" s="5"/>
      <c r="AI682" s="5"/>
      <c r="AJ682" s="5" t="s">
        <v>68</v>
      </c>
      <c r="AK682" s="5"/>
      <c r="AL682" s="5"/>
      <c r="AM682" s="5"/>
      <c r="AN682" s="5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</row>
    <row r="683" spans="1:240" ht="30" customHeight="1">
      <c r="A683" s="5">
        <v>681</v>
      </c>
      <c r="B683" s="5" t="s">
        <v>68</v>
      </c>
      <c r="C683" s="5"/>
      <c r="D683" s="5"/>
      <c r="E683" s="5">
        <v>2120</v>
      </c>
      <c r="F683" s="5">
        <v>1517</v>
      </c>
      <c r="G683" s="5">
        <v>954</v>
      </c>
      <c r="H683" s="5">
        <v>167</v>
      </c>
      <c r="I683" s="5" t="s">
        <v>13</v>
      </c>
      <c r="J683" s="24">
        <v>7.8033054406339888</v>
      </c>
      <c r="K683" s="30">
        <v>5</v>
      </c>
      <c r="L683" s="5">
        <v>45</v>
      </c>
      <c r="M683" s="31">
        <v>10</v>
      </c>
      <c r="N683" s="5" t="s">
        <v>48</v>
      </c>
      <c r="O683" s="5">
        <v>10160</v>
      </c>
      <c r="P683" s="5"/>
      <c r="Q683" s="5"/>
      <c r="R683" s="5">
        <v>4</v>
      </c>
      <c r="S683" s="5">
        <v>500</v>
      </c>
      <c r="T683" s="5">
        <v>340</v>
      </c>
      <c r="U683" s="5">
        <v>560</v>
      </c>
      <c r="V683" s="5">
        <v>0.4</v>
      </c>
      <c r="W683" s="5" t="s">
        <v>99</v>
      </c>
      <c r="X683" s="5">
        <v>32</v>
      </c>
      <c r="Y683" s="5">
        <v>99</v>
      </c>
      <c r="Z683" s="5">
        <v>14.8</v>
      </c>
      <c r="AA683" s="5" t="s">
        <v>68</v>
      </c>
      <c r="AB683" s="5"/>
      <c r="AC683" s="5"/>
      <c r="AD683" s="5"/>
      <c r="AE683" s="5"/>
      <c r="AF683" s="5" t="s">
        <v>68</v>
      </c>
      <c r="AG683" s="5"/>
      <c r="AH683" s="5"/>
      <c r="AI683" s="5"/>
      <c r="AJ683" s="5" t="s">
        <v>68</v>
      </c>
      <c r="AK683" s="5"/>
      <c r="AL683" s="5"/>
      <c r="AM683" s="5"/>
      <c r="AN683" s="5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</row>
    <row r="684" spans="1:240" ht="30" customHeight="1">
      <c r="A684" s="5">
        <v>682</v>
      </c>
      <c r="B684" s="5" t="s">
        <v>68</v>
      </c>
      <c r="C684" s="5"/>
      <c r="D684" s="5"/>
      <c r="E684" s="5">
        <v>2120</v>
      </c>
      <c r="F684" s="5">
        <v>1517</v>
      </c>
      <c r="G684" s="5">
        <v>954</v>
      </c>
      <c r="H684" s="5">
        <v>188</v>
      </c>
      <c r="I684" s="5" t="s">
        <v>13</v>
      </c>
      <c r="J684" s="24">
        <v>7.768624083120061</v>
      </c>
      <c r="K684" s="30">
        <v>5</v>
      </c>
      <c r="L684" s="5">
        <v>44.8</v>
      </c>
      <c r="M684" s="31">
        <v>10</v>
      </c>
      <c r="N684" s="5" t="s">
        <v>48</v>
      </c>
      <c r="O684" s="5">
        <v>9040</v>
      </c>
      <c r="P684" s="5"/>
      <c r="Q684" s="5"/>
      <c r="R684" s="5">
        <v>4</v>
      </c>
      <c r="S684" s="5">
        <v>500</v>
      </c>
      <c r="T684" s="5">
        <v>340</v>
      </c>
      <c r="U684" s="5">
        <v>560</v>
      </c>
      <c r="V684" s="5">
        <v>0.4</v>
      </c>
      <c r="W684" s="5" t="s">
        <v>99</v>
      </c>
      <c r="X684" s="5">
        <v>32</v>
      </c>
      <c r="Y684" s="5">
        <v>149</v>
      </c>
      <c r="Z684" s="5">
        <v>22</v>
      </c>
      <c r="AA684" s="5" t="s">
        <v>68</v>
      </c>
      <c r="AB684" s="5"/>
      <c r="AC684" s="5"/>
      <c r="AD684" s="5"/>
      <c r="AE684" s="5"/>
      <c r="AF684" s="5" t="s">
        <v>68</v>
      </c>
      <c r="AG684" s="5"/>
      <c r="AH684" s="5"/>
      <c r="AI684" s="5"/>
      <c r="AJ684" s="5" t="s">
        <v>68</v>
      </c>
      <c r="AK684" s="5"/>
      <c r="AL684" s="5"/>
      <c r="AM684" s="5"/>
      <c r="AN684" s="5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</row>
    <row r="685" spans="1:240" ht="30" customHeight="1">
      <c r="A685" s="5">
        <v>683</v>
      </c>
      <c r="B685" s="5" t="s">
        <v>68</v>
      </c>
      <c r="C685" s="5"/>
      <c r="D685" s="5"/>
      <c r="E685" s="5">
        <v>2120</v>
      </c>
      <c r="F685" s="5">
        <v>1517</v>
      </c>
      <c r="G685" s="5">
        <v>954</v>
      </c>
      <c r="H685" s="5">
        <v>207</v>
      </c>
      <c r="I685" s="5" t="s">
        <v>13</v>
      </c>
      <c r="J685" s="24">
        <v>7.768624083120061</v>
      </c>
      <c r="K685" s="30">
        <v>5</v>
      </c>
      <c r="L685" s="5">
        <v>44.8</v>
      </c>
      <c r="M685" s="31">
        <v>10</v>
      </c>
      <c r="N685" s="5" t="s">
        <v>48</v>
      </c>
      <c r="O685" s="5">
        <v>9040</v>
      </c>
      <c r="P685" s="5"/>
      <c r="Q685" s="5"/>
      <c r="R685" s="5">
        <v>4</v>
      </c>
      <c r="S685" s="5">
        <v>500</v>
      </c>
      <c r="T685" s="5">
        <v>340</v>
      </c>
      <c r="U685" s="5">
        <v>560</v>
      </c>
      <c r="V685" s="5">
        <v>0.4</v>
      </c>
      <c r="W685" s="5" t="s">
        <v>99</v>
      </c>
      <c r="X685" s="5">
        <v>32</v>
      </c>
      <c r="Y685" s="5">
        <v>198</v>
      </c>
      <c r="Z685" s="5">
        <v>29.2</v>
      </c>
      <c r="AA685" s="5" t="s">
        <v>68</v>
      </c>
      <c r="AB685" s="5"/>
      <c r="AC685" s="5"/>
      <c r="AD685" s="5"/>
      <c r="AE685" s="5"/>
      <c r="AF685" s="5" t="s">
        <v>68</v>
      </c>
      <c r="AG685" s="5"/>
      <c r="AH685" s="5"/>
      <c r="AI685" s="5"/>
      <c r="AJ685" s="5" t="s">
        <v>68</v>
      </c>
      <c r="AK685" s="5"/>
      <c r="AL685" s="5"/>
      <c r="AM685" s="5"/>
      <c r="AN685" s="5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</row>
    <row r="686" spans="1:240" ht="30" customHeight="1">
      <c r="A686" s="5">
        <v>684</v>
      </c>
      <c r="B686" s="5" t="s">
        <v>68</v>
      </c>
      <c r="C686" s="5"/>
      <c r="D686" s="5"/>
      <c r="E686" s="5">
        <v>3000</v>
      </c>
      <c r="F686" s="5">
        <v>1517</v>
      </c>
      <c r="G686" s="5">
        <v>954</v>
      </c>
      <c r="H686" s="5">
        <v>235</v>
      </c>
      <c r="I686" s="5" t="s">
        <v>13</v>
      </c>
      <c r="J686" s="24">
        <v>11.72229883970795</v>
      </c>
      <c r="K686" s="30">
        <v>5</v>
      </c>
      <c r="L686" s="5">
        <v>67.599999999999994</v>
      </c>
      <c r="M686" s="31">
        <v>10</v>
      </c>
      <c r="N686" s="5" t="s">
        <v>48</v>
      </c>
      <c r="O686" s="5">
        <v>15240</v>
      </c>
      <c r="P686" s="5"/>
      <c r="Q686" s="5"/>
      <c r="R686" s="5">
        <v>6</v>
      </c>
      <c r="S686" s="5">
        <v>500</v>
      </c>
      <c r="T686" s="5">
        <v>340</v>
      </c>
      <c r="U686" s="5">
        <v>560</v>
      </c>
      <c r="V686" s="5">
        <v>0.6</v>
      </c>
      <c r="W686" s="5" t="s">
        <v>99</v>
      </c>
      <c r="X686" s="5">
        <v>34</v>
      </c>
      <c r="Y686" s="5">
        <v>149</v>
      </c>
      <c r="Z686" s="5">
        <v>22.2</v>
      </c>
      <c r="AA686" s="5" t="s">
        <v>68</v>
      </c>
      <c r="AB686" s="5"/>
      <c r="AC686" s="5"/>
      <c r="AD686" s="5"/>
      <c r="AE686" s="5"/>
      <c r="AF686" s="5" t="s">
        <v>68</v>
      </c>
      <c r="AG686" s="5"/>
      <c r="AH686" s="5"/>
      <c r="AI686" s="5"/>
      <c r="AJ686" s="5" t="s">
        <v>68</v>
      </c>
      <c r="AK686" s="5"/>
      <c r="AL686" s="5"/>
      <c r="AM686" s="5"/>
      <c r="AN686" s="5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</row>
    <row r="687" spans="1:240" ht="30" customHeight="1">
      <c r="A687" s="5">
        <v>685</v>
      </c>
      <c r="B687" s="5" t="s">
        <v>68</v>
      </c>
      <c r="C687" s="5"/>
      <c r="D687" s="5"/>
      <c r="E687" s="5">
        <v>3000</v>
      </c>
      <c r="F687" s="5">
        <v>1517</v>
      </c>
      <c r="G687" s="5">
        <v>954</v>
      </c>
      <c r="H687" s="5">
        <v>262</v>
      </c>
      <c r="I687" s="5" t="s">
        <v>13</v>
      </c>
      <c r="J687" s="24">
        <v>11.635595445923126</v>
      </c>
      <c r="K687" s="30">
        <v>5</v>
      </c>
      <c r="L687" s="5">
        <v>67.099999999999994</v>
      </c>
      <c r="M687" s="31">
        <v>10</v>
      </c>
      <c r="N687" s="5" t="s">
        <v>48</v>
      </c>
      <c r="O687" s="5">
        <v>13560</v>
      </c>
      <c r="P687" s="5"/>
      <c r="Q687" s="5"/>
      <c r="R687" s="5">
        <v>6</v>
      </c>
      <c r="S687" s="5">
        <v>500</v>
      </c>
      <c r="T687" s="5">
        <v>340</v>
      </c>
      <c r="U687" s="5">
        <v>560</v>
      </c>
      <c r="V687" s="5">
        <v>0.6</v>
      </c>
      <c r="W687" s="5" t="s">
        <v>99</v>
      </c>
      <c r="X687" s="5">
        <v>34</v>
      </c>
      <c r="Y687" s="5">
        <v>223</v>
      </c>
      <c r="Z687" s="5">
        <v>33</v>
      </c>
      <c r="AA687" s="5" t="s">
        <v>68</v>
      </c>
      <c r="AB687" s="5"/>
      <c r="AC687" s="5"/>
      <c r="AD687" s="5"/>
      <c r="AE687" s="5"/>
      <c r="AF687" s="5" t="s">
        <v>68</v>
      </c>
      <c r="AG687" s="5"/>
      <c r="AH687" s="5"/>
      <c r="AI687" s="5"/>
      <c r="AJ687" s="5" t="s">
        <v>68</v>
      </c>
      <c r="AK687" s="5"/>
      <c r="AL687" s="5"/>
      <c r="AM687" s="5"/>
      <c r="AN687" s="5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</row>
    <row r="688" spans="1:240" ht="30" customHeight="1">
      <c r="A688" s="5">
        <v>686</v>
      </c>
      <c r="B688" s="5" t="s">
        <v>68</v>
      </c>
      <c r="C688" s="5"/>
      <c r="D688" s="5"/>
      <c r="E688" s="5">
        <v>3000</v>
      </c>
      <c r="F688" s="5">
        <v>1517</v>
      </c>
      <c r="G688" s="5">
        <v>954</v>
      </c>
      <c r="H688" s="5">
        <v>290</v>
      </c>
      <c r="I688" s="5" t="s">
        <v>13</v>
      </c>
      <c r="J688" s="24">
        <v>11.652936124680091</v>
      </c>
      <c r="K688" s="30">
        <v>5</v>
      </c>
      <c r="L688" s="5">
        <v>67.2</v>
      </c>
      <c r="M688" s="31">
        <v>10</v>
      </c>
      <c r="N688" s="5" t="s">
        <v>48</v>
      </c>
      <c r="O688" s="5">
        <v>13560</v>
      </c>
      <c r="P688" s="5"/>
      <c r="Q688" s="5"/>
      <c r="R688" s="5">
        <v>6</v>
      </c>
      <c r="S688" s="5">
        <v>500</v>
      </c>
      <c r="T688" s="5">
        <v>340</v>
      </c>
      <c r="U688" s="5">
        <v>560</v>
      </c>
      <c r="V688" s="5">
        <v>0.6</v>
      </c>
      <c r="W688" s="5" t="s">
        <v>99</v>
      </c>
      <c r="X688" s="5">
        <v>34</v>
      </c>
      <c r="Y688" s="5">
        <v>297</v>
      </c>
      <c r="Z688" s="5">
        <v>43.8</v>
      </c>
      <c r="AA688" s="5" t="s">
        <v>68</v>
      </c>
      <c r="AB688" s="5"/>
      <c r="AC688" s="5"/>
      <c r="AD688" s="5"/>
      <c r="AE688" s="5"/>
      <c r="AF688" s="5" t="s">
        <v>68</v>
      </c>
      <c r="AG688" s="5"/>
      <c r="AH688" s="5"/>
      <c r="AI688" s="5"/>
      <c r="AJ688" s="5" t="s">
        <v>68</v>
      </c>
      <c r="AK688" s="5"/>
      <c r="AL688" s="5"/>
      <c r="AM688" s="5"/>
      <c r="AN688" s="5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</row>
    <row r="689" spans="1:240" ht="30" customHeight="1">
      <c r="A689" s="5">
        <v>687</v>
      </c>
      <c r="B689" s="5" t="s">
        <v>68</v>
      </c>
      <c r="C689" s="5"/>
      <c r="D689" s="5"/>
      <c r="E689" s="5">
        <v>1360</v>
      </c>
      <c r="F689" s="5">
        <v>1067</v>
      </c>
      <c r="G689" s="5">
        <v>1080</v>
      </c>
      <c r="H689" s="5">
        <v>109</v>
      </c>
      <c r="I689" s="5" t="s">
        <v>13</v>
      </c>
      <c r="J689" s="24">
        <v>7.3524477929529146</v>
      </c>
      <c r="K689" s="30">
        <v>5</v>
      </c>
      <c r="L689" s="5">
        <v>42.4</v>
      </c>
      <c r="M689" s="31">
        <v>10</v>
      </c>
      <c r="N689" s="5" t="s">
        <v>48</v>
      </c>
      <c r="O689" s="5">
        <v>14400</v>
      </c>
      <c r="P689" s="5"/>
      <c r="Q689" s="5"/>
      <c r="R689" s="5">
        <v>1</v>
      </c>
      <c r="S689" s="5">
        <v>630</v>
      </c>
      <c r="T689" s="5">
        <v>1140</v>
      </c>
      <c r="U689" s="5">
        <v>1380</v>
      </c>
      <c r="V689" s="5">
        <v>1.65</v>
      </c>
      <c r="W689" s="5" t="s">
        <v>99</v>
      </c>
      <c r="X689" s="5">
        <v>53</v>
      </c>
      <c r="Y689" s="5">
        <v>39</v>
      </c>
      <c r="Z689" s="5">
        <v>5.8</v>
      </c>
      <c r="AA689" s="5" t="s">
        <v>68</v>
      </c>
      <c r="AB689" s="5"/>
      <c r="AC689" s="5"/>
      <c r="AD689" s="5"/>
      <c r="AE689" s="5"/>
      <c r="AF689" s="5" t="s">
        <v>68</v>
      </c>
      <c r="AG689" s="5"/>
      <c r="AH689" s="5"/>
      <c r="AI689" s="5"/>
      <c r="AJ689" s="5" t="s">
        <v>68</v>
      </c>
      <c r="AK689" s="5"/>
      <c r="AL689" s="5"/>
      <c r="AM689" s="5"/>
      <c r="AN689" s="5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</row>
    <row r="690" spans="1:240" ht="30" customHeight="1">
      <c r="A690" s="5">
        <v>688</v>
      </c>
      <c r="B690" s="5" t="s">
        <v>68</v>
      </c>
      <c r="C690" s="5"/>
      <c r="D690" s="5"/>
      <c r="E690" s="5">
        <v>1360</v>
      </c>
      <c r="F690" s="5">
        <v>1067</v>
      </c>
      <c r="G690" s="5">
        <v>1080</v>
      </c>
      <c r="H690" s="5">
        <v>117</v>
      </c>
      <c r="I690" s="5" t="s">
        <v>13</v>
      </c>
      <c r="J690" s="24">
        <v>8.8610868448088187</v>
      </c>
      <c r="K690" s="30">
        <v>5</v>
      </c>
      <c r="L690" s="5">
        <v>51.1</v>
      </c>
      <c r="M690" s="31">
        <v>10</v>
      </c>
      <c r="N690" s="5" t="s">
        <v>48</v>
      </c>
      <c r="O690" s="5">
        <v>13510</v>
      </c>
      <c r="P690" s="5"/>
      <c r="Q690" s="5"/>
      <c r="R690" s="5">
        <v>1</v>
      </c>
      <c r="S690" s="5">
        <v>630</v>
      </c>
      <c r="T690" s="5">
        <v>1140</v>
      </c>
      <c r="U690" s="5">
        <v>1380</v>
      </c>
      <c r="V690" s="5">
        <v>1.65</v>
      </c>
      <c r="W690" s="5" t="s">
        <v>99</v>
      </c>
      <c r="X690" s="5">
        <v>53</v>
      </c>
      <c r="Y690" s="5">
        <v>59</v>
      </c>
      <c r="Z690" s="5">
        <v>8.6999999999999993</v>
      </c>
      <c r="AA690" s="5" t="s">
        <v>68</v>
      </c>
      <c r="AB690" s="5"/>
      <c r="AC690" s="5"/>
      <c r="AD690" s="5"/>
      <c r="AE690" s="5"/>
      <c r="AF690" s="5" t="s">
        <v>68</v>
      </c>
      <c r="AG690" s="5"/>
      <c r="AH690" s="5"/>
      <c r="AI690" s="5"/>
      <c r="AJ690" s="5" t="s">
        <v>68</v>
      </c>
      <c r="AK690" s="5"/>
      <c r="AL690" s="5"/>
      <c r="AM690" s="5"/>
      <c r="AN690" s="5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</row>
    <row r="691" spans="1:240" ht="30" customHeight="1">
      <c r="A691" s="5">
        <v>689</v>
      </c>
      <c r="B691" s="5" t="s">
        <v>68</v>
      </c>
      <c r="C691" s="5"/>
      <c r="D691" s="5"/>
      <c r="E691" s="5">
        <v>1360</v>
      </c>
      <c r="F691" s="5">
        <v>1067</v>
      </c>
      <c r="G691" s="5">
        <v>1080</v>
      </c>
      <c r="H691" s="5">
        <v>125</v>
      </c>
      <c r="I691" s="5" t="s">
        <v>13</v>
      </c>
      <c r="J691" s="24">
        <v>9.5200326375734683</v>
      </c>
      <c r="K691" s="30">
        <v>5</v>
      </c>
      <c r="L691" s="5">
        <v>54.9</v>
      </c>
      <c r="M691" s="31">
        <v>10</v>
      </c>
      <c r="N691" s="5" t="s">
        <v>48</v>
      </c>
      <c r="O691" s="5">
        <v>12620</v>
      </c>
      <c r="P691" s="5"/>
      <c r="Q691" s="5"/>
      <c r="R691" s="5">
        <v>1</v>
      </c>
      <c r="S691" s="5">
        <v>630</v>
      </c>
      <c r="T691" s="5">
        <v>1140</v>
      </c>
      <c r="U691" s="5">
        <v>1380</v>
      </c>
      <c r="V691" s="5">
        <v>1.65</v>
      </c>
      <c r="W691" s="5" t="s">
        <v>99</v>
      </c>
      <c r="X691" s="5">
        <v>53</v>
      </c>
      <c r="Y691" s="5">
        <v>79</v>
      </c>
      <c r="Z691" s="5">
        <v>11.6</v>
      </c>
      <c r="AA691" s="5" t="s">
        <v>68</v>
      </c>
      <c r="AB691" s="5"/>
      <c r="AC691" s="5"/>
      <c r="AD691" s="5"/>
      <c r="AE691" s="5"/>
      <c r="AF691" s="5" t="s">
        <v>68</v>
      </c>
      <c r="AG691" s="5"/>
      <c r="AH691" s="5"/>
      <c r="AI691" s="5"/>
      <c r="AJ691" s="5" t="s">
        <v>68</v>
      </c>
      <c r="AK691" s="5"/>
      <c r="AL691" s="5"/>
      <c r="AM691" s="5"/>
      <c r="AN691" s="5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</row>
    <row r="692" spans="1:240" ht="30" customHeight="1">
      <c r="A692" s="5">
        <v>690</v>
      </c>
      <c r="B692" s="5" t="s">
        <v>68</v>
      </c>
      <c r="C692" s="5"/>
      <c r="D692" s="5"/>
      <c r="E692" s="5">
        <v>2360</v>
      </c>
      <c r="F692" s="5">
        <v>1067</v>
      </c>
      <c r="G692" s="5">
        <v>1080</v>
      </c>
      <c r="H692" s="5">
        <v>184</v>
      </c>
      <c r="I692" s="5" t="s">
        <v>13</v>
      </c>
      <c r="J692" s="24">
        <v>14.704895585905829</v>
      </c>
      <c r="K692" s="30">
        <v>5</v>
      </c>
      <c r="L692" s="5">
        <v>84.8</v>
      </c>
      <c r="M692" s="31">
        <v>10</v>
      </c>
      <c r="N692" s="5" t="s">
        <v>48</v>
      </c>
      <c r="O692" s="5">
        <v>28800</v>
      </c>
      <c r="P692" s="5"/>
      <c r="Q692" s="5"/>
      <c r="R692" s="5">
        <v>2</v>
      </c>
      <c r="S692" s="5">
        <v>630</v>
      </c>
      <c r="T692" s="5">
        <v>1140</v>
      </c>
      <c r="U692" s="5">
        <v>1380</v>
      </c>
      <c r="V692" s="5">
        <v>3.3</v>
      </c>
      <c r="W692" s="5" t="s">
        <v>99</v>
      </c>
      <c r="X692" s="5">
        <v>56</v>
      </c>
      <c r="Y692" s="5">
        <v>79</v>
      </c>
      <c r="Z692" s="5">
        <v>11.6</v>
      </c>
      <c r="AA692" s="5" t="s">
        <v>68</v>
      </c>
      <c r="AB692" s="5"/>
      <c r="AC692" s="5"/>
      <c r="AD692" s="5"/>
      <c r="AE692" s="5"/>
      <c r="AF692" s="5" t="s">
        <v>68</v>
      </c>
      <c r="AG692" s="5"/>
      <c r="AH692" s="5"/>
      <c r="AI692" s="5"/>
      <c r="AJ692" s="5" t="s">
        <v>68</v>
      </c>
      <c r="AK692" s="5"/>
      <c r="AL692" s="5"/>
      <c r="AM692" s="5"/>
      <c r="AN692" s="5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</row>
    <row r="693" spans="1:240" ht="30" customHeight="1">
      <c r="A693" s="5">
        <v>691</v>
      </c>
      <c r="B693" s="5" t="s">
        <v>68</v>
      </c>
      <c r="C693" s="5"/>
      <c r="D693" s="5"/>
      <c r="E693" s="5">
        <v>2360</v>
      </c>
      <c r="F693" s="5">
        <v>1067</v>
      </c>
      <c r="G693" s="5">
        <v>1080</v>
      </c>
      <c r="H693" s="5">
        <v>199</v>
      </c>
      <c r="I693" s="5" t="s">
        <v>13</v>
      </c>
      <c r="J693" s="24">
        <v>17.687492332103712</v>
      </c>
      <c r="K693" s="30">
        <v>5</v>
      </c>
      <c r="L693" s="5">
        <v>102</v>
      </c>
      <c r="M693" s="31">
        <v>10</v>
      </c>
      <c r="N693" s="5" t="s">
        <v>48</v>
      </c>
      <c r="O693" s="5">
        <v>27020</v>
      </c>
      <c r="P693" s="5"/>
      <c r="Q693" s="5"/>
      <c r="R693" s="5">
        <v>2</v>
      </c>
      <c r="S693" s="5">
        <v>630</v>
      </c>
      <c r="T693" s="5">
        <v>1140</v>
      </c>
      <c r="U693" s="5">
        <v>1380</v>
      </c>
      <c r="V693" s="5">
        <v>3.3</v>
      </c>
      <c r="W693" s="5" t="s">
        <v>99</v>
      </c>
      <c r="X693" s="5">
        <v>56</v>
      </c>
      <c r="Y693" s="5">
        <v>118</v>
      </c>
      <c r="Z693" s="5">
        <v>17.399999999999999</v>
      </c>
      <c r="AA693" s="5" t="s">
        <v>68</v>
      </c>
      <c r="AB693" s="5"/>
      <c r="AC693" s="5"/>
      <c r="AD693" s="5"/>
      <c r="AE693" s="5"/>
      <c r="AF693" s="5" t="s">
        <v>68</v>
      </c>
      <c r="AG693" s="5"/>
      <c r="AH693" s="5"/>
      <c r="AI693" s="5"/>
      <c r="AJ693" s="5" t="s">
        <v>68</v>
      </c>
      <c r="AK693" s="5"/>
      <c r="AL693" s="5"/>
      <c r="AM693" s="5"/>
      <c r="AN693" s="5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</row>
    <row r="694" spans="1:240" ht="30" customHeight="1">
      <c r="A694" s="5">
        <v>692</v>
      </c>
      <c r="B694" s="5" t="s">
        <v>68</v>
      </c>
      <c r="C694" s="5"/>
      <c r="D694" s="5"/>
      <c r="E694" s="5">
        <v>2360</v>
      </c>
      <c r="F694" s="5">
        <v>1067</v>
      </c>
      <c r="G694" s="5">
        <v>1080</v>
      </c>
      <c r="H694" s="5">
        <v>214</v>
      </c>
      <c r="I694" s="5" t="s">
        <v>13</v>
      </c>
      <c r="J694" s="24">
        <v>19.074746632660865</v>
      </c>
      <c r="K694" s="30">
        <v>5</v>
      </c>
      <c r="L694" s="5">
        <v>110</v>
      </c>
      <c r="M694" s="31">
        <v>10</v>
      </c>
      <c r="N694" s="5" t="s">
        <v>48</v>
      </c>
      <c r="O694" s="5">
        <v>25240</v>
      </c>
      <c r="P694" s="5"/>
      <c r="Q694" s="5"/>
      <c r="R694" s="5">
        <v>2</v>
      </c>
      <c r="S694" s="5">
        <v>630</v>
      </c>
      <c r="T694" s="5">
        <v>1140</v>
      </c>
      <c r="U694" s="5">
        <v>1380</v>
      </c>
      <c r="V694" s="5">
        <v>3.3</v>
      </c>
      <c r="W694" s="5" t="s">
        <v>99</v>
      </c>
      <c r="X694" s="5">
        <v>56</v>
      </c>
      <c r="Y694" s="5">
        <v>158</v>
      </c>
      <c r="Z694" s="5">
        <v>23.2</v>
      </c>
      <c r="AA694" s="5" t="s">
        <v>68</v>
      </c>
      <c r="AB694" s="5"/>
      <c r="AC694" s="5"/>
      <c r="AD694" s="5"/>
      <c r="AE694" s="5"/>
      <c r="AF694" s="5" t="s">
        <v>68</v>
      </c>
      <c r="AG694" s="5"/>
      <c r="AH694" s="5"/>
      <c r="AI694" s="5"/>
      <c r="AJ694" s="5" t="s">
        <v>68</v>
      </c>
      <c r="AK694" s="5"/>
      <c r="AL694" s="5"/>
      <c r="AM694" s="5"/>
      <c r="AN694" s="5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</row>
    <row r="695" spans="1:240" ht="30" customHeight="1">
      <c r="A695" s="5">
        <v>693</v>
      </c>
      <c r="B695" s="5" t="s">
        <v>68</v>
      </c>
      <c r="C695" s="5"/>
      <c r="D695" s="5"/>
      <c r="E695" s="5">
        <v>3360</v>
      </c>
      <c r="F695" s="5">
        <v>1067</v>
      </c>
      <c r="G695" s="5">
        <v>1080</v>
      </c>
      <c r="H695" s="5">
        <v>261</v>
      </c>
      <c r="I695" s="5" t="s">
        <v>13</v>
      </c>
      <c r="J695" s="24">
        <v>22.022662021344814</v>
      </c>
      <c r="K695" s="30">
        <v>5</v>
      </c>
      <c r="L695" s="5">
        <v>127</v>
      </c>
      <c r="M695" s="31">
        <v>10</v>
      </c>
      <c r="N695" s="5" t="s">
        <v>48</v>
      </c>
      <c r="O695" s="5">
        <v>43200</v>
      </c>
      <c r="P695" s="5"/>
      <c r="Q695" s="5"/>
      <c r="R695" s="5">
        <v>3</v>
      </c>
      <c r="S695" s="5">
        <v>630</v>
      </c>
      <c r="T695" s="5">
        <v>1140</v>
      </c>
      <c r="U695" s="5">
        <v>1380</v>
      </c>
      <c r="V695" s="5">
        <v>4.95</v>
      </c>
      <c r="W695" s="5" t="s">
        <v>99</v>
      </c>
      <c r="X695" s="5">
        <v>57</v>
      </c>
      <c r="Y695" s="5">
        <v>118</v>
      </c>
      <c r="Z695" s="5">
        <v>17.399999999999999</v>
      </c>
      <c r="AA695" s="5" t="s">
        <v>68</v>
      </c>
      <c r="AB695" s="5"/>
      <c r="AC695" s="5"/>
      <c r="AD695" s="5"/>
      <c r="AE695" s="5"/>
      <c r="AF695" s="5" t="s">
        <v>68</v>
      </c>
      <c r="AG695" s="5"/>
      <c r="AH695" s="5"/>
      <c r="AI695" s="5"/>
      <c r="AJ695" s="5" t="s">
        <v>68</v>
      </c>
      <c r="AK695" s="5"/>
      <c r="AL695" s="5"/>
      <c r="AM695" s="5"/>
      <c r="AN695" s="5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</row>
    <row r="696" spans="1:240" ht="30" customHeight="1">
      <c r="A696" s="5">
        <v>694</v>
      </c>
      <c r="B696" s="5" t="s">
        <v>68</v>
      </c>
      <c r="C696" s="5"/>
      <c r="D696" s="5"/>
      <c r="E696" s="5">
        <v>3360</v>
      </c>
      <c r="F696" s="5">
        <v>1067</v>
      </c>
      <c r="G696" s="5">
        <v>1080</v>
      </c>
      <c r="H696" s="5">
        <v>283</v>
      </c>
      <c r="I696" s="5" t="s">
        <v>13</v>
      </c>
      <c r="J696" s="24">
        <v>26.531238498155563</v>
      </c>
      <c r="K696" s="30">
        <v>5</v>
      </c>
      <c r="L696" s="5">
        <v>153</v>
      </c>
      <c r="M696" s="31">
        <v>10</v>
      </c>
      <c r="N696" s="5" t="s">
        <v>48</v>
      </c>
      <c r="O696" s="5">
        <v>40530</v>
      </c>
      <c r="P696" s="5"/>
      <c r="Q696" s="5"/>
      <c r="R696" s="5">
        <v>3</v>
      </c>
      <c r="S696" s="5">
        <v>630</v>
      </c>
      <c r="T696" s="5">
        <v>1140</v>
      </c>
      <c r="U696" s="5">
        <v>1380</v>
      </c>
      <c r="V696" s="5">
        <v>4.95</v>
      </c>
      <c r="W696" s="5" t="s">
        <v>99</v>
      </c>
      <c r="X696" s="5">
        <v>57</v>
      </c>
      <c r="Y696" s="5">
        <v>177</v>
      </c>
      <c r="Z696" s="5">
        <v>26.1</v>
      </c>
      <c r="AA696" s="5" t="s">
        <v>68</v>
      </c>
      <c r="AB696" s="5"/>
      <c r="AC696" s="5"/>
      <c r="AD696" s="5"/>
      <c r="AE696" s="5"/>
      <c r="AF696" s="5" t="s">
        <v>68</v>
      </c>
      <c r="AG696" s="5"/>
      <c r="AH696" s="5"/>
      <c r="AI696" s="5"/>
      <c r="AJ696" s="5" t="s">
        <v>68</v>
      </c>
      <c r="AK696" s="5"/>
      <c r="AL696" s="5"/>
      <c r="AM696" s="5"/>
      <c r="AN696" s="5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</row>
    <row r="697" spans="1:240" ht="30" customHeight="1">
      <c r="A697" s="5">
        <v>695</v>
      </c>
      <c r="B697" s="5" t="s">
        <v>68</v>
      </c>
      <c r="C697" s="5"/>
      <c r="D697" s="5"/>
      <c r="E697" s="5">
        <v>3360</v>
      </c>
      <c r="F697" s="5">
        <v>1067</v>
      </c>
      <c r="G697" s="5">
        <v>1080</v>
      </c>
      <c r="H697" s="5">
        <v>305</v>
      </c>
      <c r="I697" s="5" t="s">
        <v>13</v>
      </c>
      <c r="J697" s="24">
        <v>28.6121199489913</v>
      </c>
      <c r="K697" s="30">
        <v>5</v>
      </c>
      <c r="L697" s="5">
        <v>165</v>
      </c>
      <c r="M697" s="31">
        <v>10</v>
      </c>
      <c r="N697" s="5" t="s">
        <v>48</v>
      </c>
      <c r="O697" s="5">
        <v>37860</v>
      </c>
      <c r="P697" s="5"/>
      <c r="Q697" s="5"/>
      <c r="R697" s="5">
        <v>3</v>
      </c>
      <c r="S697" s="5">
        <v>630</v>
      </c>
      <c r="T697" s="5">
        <v>1140</v>
      </c>
      <c r="U697" s="5">
        <v>1380</v>
      </c>
      <c r="V697" s="5">
        <v>4.95</v>
      </c>
      <c r="W697" s="5" t="s">
        <v>99</v>
      </c>
      <c r="X697" s="5">
        <v>57</v>
      </c>
      <c r="Y697" s="5">
        <v>236</v>
      </c>
      <c r="Z697" s="5">
        <v>34.799999999999997</v>
      </c>
      <c r="AA697" s="5" t="s">
        <v>68</v>
      </c>
      <c r="AB697" s="5"/>
      <c r="AC697" s="5"/>
      <c r="AD697" s="5"/>
      <c r="AE697" s="5"/>
      <c r="AF697" s="5" t="s">
        <v>68</v>
      </c>
      <c r="AG697" s="5"/>
      <c r="AH697" s="5"/>
      <c r="AI697" s="5"/>
      <c r="AJ697" s="5" t="s">
        <v>68</v>
      </c>
      <c r="AK697" s="5"/>
      <c r="AL697" s="5"/>
      <c r="AM697" s="5"/>
      <c r="AN697" s="5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</row>
    <row r="698" spans="1:240" ht="30" customHeight="1">
      <c r="A698" s="5">
        <v>696</v>
      </c>
      <c r="B698" s="5" t="s">
        <v>68</v>
      </c>
      <c r="C698" s="5"/>
      <c r="D698" s="5"/>
      <c r="E698" s="5">
        <v>1360</v>
      </c>
      <c r="F698" s="5">
        <v>1067</v>
      </c>
      <c r="G698" s="5">
        <v>1080</v>
      </c>
      <c r="H698" s="5">
        <v>109</v>
      </c>
      <c r="I698" s="5" t="s">
        <v>13</v>
      </c>
      <c r="J698" s="24">
        <v>5.2368849846032548</v>
      </c>
      <c r="K698" s="30">
        <v>5</v>
      </c>
      <c r="L698" s="5">
        <v>30.2</v>
      </c>
      <c r="M698" s="31">
        <v>10</v>
      </c>
      <c r="N698" s="5" t="s">
        <v>48</v>
      </c>
      <c r="O698" s="5">
        <v>8140</v>
      </c>
      <c r="P698" s="5"/>
      <c r="Q698" s="5"/>
      <c r="R698" s="5">
        <v>1</v>
      </c>
      <c r="S698" s="5">
        <v>630</v>
      </c>
      <c r="T698" s="5">
        <v>690</v>
      </c>
      <c r="U698" s="5">
        <v>890</v>
      </c>
      <c r="V698" s="5">
        <v>0.6</v>
      </c>
      <c r="W698" s="5" t="s">
        <v>99</v>
      </c>
      <c r="X698" s="5">
        <v>43</v>
      </c>
      <c r="Y698" s="5">
        <v>39</v>
      </c>
      <c r="Z698" s="5">
        <v>5.8</v>
      </c>
      <c r="AA698" s="5" t="s">
        <v>68</v>
      </c>
      <c r="AB698" s="5"/>
      <c r="AC698" s="5"/>
      <c r="AD698" s="5"/>
      <c r="AE698" s="5"/>
      <c r="AF698" s="5" t="s">
        <v>68</v>
      </c>
      <c r="AG698" s="5"/>
      <c r="AH698" s="5"/>
      <c r="AI698" s="5"/>
      <c r="AJ698" s="5" t="s">
        <v>68</v>
      </c>
      <c r="AK698" s="5"/>
      <c r="AL698" s="5"/>
      <c r="AM698" s="5"/>
      <c r="AN698" s="5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</row>
    <row r="699" spans="1:240" ht="30" customHeight="1">
      <c r="A699" s="5">
        <v>697</v>
      </c>
      <c r="B699" s="5" t="s">
        <v>68</v>
      </c>
      <c r="C699" s="5"/>
      <c r="D699" s="5"/>
      <c r="E699" s="5">
        <v>1360</v>
      </c>
      <c r="F699" s="5">
        <v>1067</v>
      </c>
      <c r="G699" s="5">
        <v>1080</v>
      </c>
      <c r="H699" s="5">
        <v>117</v>
      </c>
      <c r="I699" s="5" t="s">
        <v>13</v>
      </c>
      <c r="J699" s="24">
        <v>5.7397646685552246</v>
      </c>
      <c r="K699" s="30">
        <v>5</v>
      </c>
      <c r="L699" s="5">
        <v>33.1</v>
      </c>
      <c r="M699" s="31">
        <v>10</v>
      </c>
      <c r="N699" s="5" t="s">
        <v>48</v>
      </c>
      <c r="O699" s="5">
        <v>7590</v>
      </c>
      <c r="P699" s="5"/>
      <c r="Q699" s="5"/>
      <c r="R699" s="5">
        <v>1</v>
      </c>
      <c r="S699" s="5">
        <v>630</v>
      </c>
      <c r="T699" s="5">
        <v>690</v>
      </c>
      <c r="U699" s="5">
        <v>890</v>
      </c>
      <c r="V699" s="5">
        <v>0.6</v>
      </c>
      <c r="W699" s="5" t="s">
        <v>99</v>
      </c>
      <c r="X699" s="5">
        <v>43</v>
      </c>
      <c r="Y699" s="5">
        <v>59</v>
      </c>
      <c r="Z699" s="5">
        <v>8.6999999999999993</v>
      </c>
      <c r="AA699" s="5" t="s">
        <v>68</v>
      </c>
      <c r="AB699" s="5"/>
      <c r="AC699" s="5"/>
      <c r="AD699" s="5"/>
      <c r="AE699" s="5"/>
      <c r="AF699" s="5" t="s">
        <v>68</v>
      </c>
      <c r="AG699" s="5"/>
      <c r="AH699" s="5"/>
      <c r="AI699" s="5"/>
      <c r="AJ699" s="5" t="s">
        <v>68</v>
      </c>
      <c r="AK699" s="5"/>
      <c r="AL699" s="5"/>
      <c r="AM699" s="5"/>
      <c r="AN699" s="5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</row>
    <row r="700" spans="1:240" ht="30" customHeight="1">
      <c r="A700" s="5">
        <v>698</v>
      </c>
      <c r="B700" s="5" t="s">
        <v>68</v>
      </c>
      <c r="C700" s="5"/>
      <c r="D700" s="5"/>
      <c r="E700" s="5">
        <v>1360</v>
      </c>
      <c r="F700" s="5">
        <v>1067</v>
      </c>
      <c r="G700" s="5">
        <v>1080</v>
      </c>
      <c r="H700" s="5">
        <v>125</v>
      </c>
      <c r="I700" s="5" t="s">
        <v>13</v>
      </c>
      <c r="J700" s="24">
        <v>5.9131714561248687</v>
      </c>
      <c r="K700" s="30">
        <v>5</v>
      </c>
      <c r="L700" s="5">
        <v>34.1</v>
      </c>
      <c r="M700" s="31">
        <v>10</v>
      </c>
      <c r="N700" s="5" t="s">
        <v>48</v>
      </c>
      <c r="O700" s="5">
        <v>7170</v>
      </c>
      <c r="P700" s="5"/>
      <c r="Q700" s="5"/>
      <c r="R700" s="5">
        <v>1</v>
      </c>
      <c r="S700" s="5">
        <v>630</v>
      </c>
      <c r="T700" s="5">
        <v>690</v>
      </c>
      <c r="U700" s="5">
        <v>890</v>
      </c>
      <c r="V700" s="5">
        <v>0.6</v>
      </c>
      <c r="W700" s="5" t="s">
        <v>99</v>
      </c>
      <c r="X700" s="5">
        <v>43</v>
      </c>
      <c r="Y700" s="5">
        <v>79</v>
      </c>
      <c r="Z700" s="5">
        <v>11.6</v>
      </c>
      <c r="AA700" s="5" t="s">
        <v>68</v>
      </c>
      <c r="AB700" s="5"/>
      <c r="AC700" s="5"/>
      <c r="AD700" s="5"/>
      <c r="AE700" s="5"/>
      <c r="AF700" s="5" t="s">
        <v>68</v>
      </c>
      <c r="AG700" s="5"/>
      <c r="AH700" s="5"/>
      <c r="AI700" s="5"/>
      <c r="AJ700" s="5" t="s">
        <v>68</v>
      </c>
      <c r="AK700" s="5"/>
      <c r="AL700" s="5"/>
      <c r="AM700" s="5"/>
      <c r="AN700" s="5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</row>
    <row r="701" spans="1:240" ht="30" customHeight="1">
      <c r="A701" s="5">
        <v>699</v>
      </c>
      <c r="B701" s="5" t="s">
        <v>68</v>
      </c>
      <c r="C701" s="5"/>
      <c r="D701" s="5"/>
      <c r="E701" s="5">
        <v>2360</v>
      </c>
      <c r="F701" s="5">
        <v>1067</v>
      </c>
      <c r="G701" s="5">
        <v>1080</v>
      </c>
      <c r="H701" s="5">
        <v>184</v>
      </c>
      <c r="I701" s="5" t="s">
        <v>13</v>
      </c>
      <c r="J701" s="24">
        <v>10.47376996920651</v>
      </c>
      <c r="K701" s="30">
        <v>5</v>
      </c>
      <c r="L701" s="5">
        <v>60.4</v>
      </c>
      <c r="M701" s="31">
        <v>10</v>
      </c>
      <c r="N701" s="5" t="s">
        <v>48</v>
      </c>
      <c r="O701" s="5">
        <v>16280</v>
      </c>
      <c r="P701" s="5"/>
      <c r="Q701" s="5"/>
      <c r="R701" s="5">
        <v>2</v>
      </c>
      <c r="S701" s="5">
        <v>630</v>
      </c>
      <c r="T701" s="5">
        <v>690</v>
      </c>
      <c r="U701" s="5">
        <v>890</v>
      </c>
      <c r="V701" s="5">
        <v>1.2</v>
      </c>
      <c r="W701" s="5" t="s">
        <v>99</v>
      </c>
      <c r="X701" s="5">
        <v>46</v>
      </c>
      <c r="Y701" s="5">
        <v>79</v>
      </c>
      <c r="Z701" s="5">
        <v>11.6</v>
      </c>
      <c r="AA701" s="5" t="s">
        <v>68</v>
      </c>
      <c r="AB701" s="5"/>
      <c r="AC701" s="5"/>
      <c r="AD701" s="5"/>
      <c r="AE701" s="5"/>
      <c r="AF701" s="5" t="s">
        <v>68</v>
      </c>
      <c r="AG701" s="5"/>
      <c r="AH701" s="5"/>
      <c r="AI701" s="5"/>
      <c r="AJ701" s="5" t="s">
        <v>68</v>
      </c>
      <c r="AK701" s="5"/>
      <c r="AL701" s="5"/>
      <c r="AM701" s="5"/>
      <c r="AN701" s="5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</row>
    <row r="702" spans="1:240" ht="30" customHeight="1">
      <c r="A702" s="5">
        <v>700</v>
      </c>
      <c r="B702" s="5" t="s">
        <v>68</v>
      </c>
      <c r="C702" s="5"/>
      <c r="D702" s="5"/>
      <c r="E702" s="5">
        <v>2360</v>
      </c>
      <c r="F702" s="5">
        <v>1067</v>
      </c>
      <c r="G702" s="5">
        <v>1080</v>
      </c>
      <c r="H702" s="5">
        <v>199</v>
      </c>
      <c r="I702" s="5" t="s">
        <v>13</v>
      </c>
      <c r="J702" s="24">
        <v>11.479529337110449</v>
      </c>
      <c r="K702" s="30">
        <v>5</v>
      </c>
      <c r="L702" s="5">
        <v>66.2</v>
      </c>
      <c r="M702" s="31">
        <v>10</v>
      </c>
      <c r="N702" s="5" t="s">
        <v>48</v>
      </c>
      <c r="O702" s="5">
        <v>15180</v>
      </c>
      <c r="P702" s="5"/>
      <c r="Q702" s="5"/>
      <c r="R702" s="5">
        <v>2</v>
      </c>
      <c r="S702" s="5">
        <v>630</v>
      </c>
      <c r="T702" s="5">
        <v>690</v>
      </c>
      <c r="U702" s="5">
        <v>890</v>
      </c>
      <c r="V702" s="5">
        <v>1.2</v>
      </c>
      <c r="W702" s="5" t="s">
        <v>99</v>
      </c>
      <c r="X702" s="5">
        <v>46</v>
      </c>
      <c r="Y702" s="5">
        <v>118</v>
      </c>
      <c r="Z702" s="5">
        <v>17.399999999999999</v>
      </c>
      <c r="AA702" s="5" t="s">
        <v>68</v>
      </c>
      <c r="AB702" s="5"/>
      <c r="AC702" s="5"/>
      <c r="AD702" s="5"/>
      <c r="AE702" s="5"/>
      <c r="AF702" s="5" t="s">
        <v>68</v>
      </c>
      <c r="AG702" s="5"/>
      <c r="AH702" s="5"/>
      <c r="AI702" s="5"/>
      <c r="AJ702" s="5" t="s">
        <v>68</v>
      </c>
      <c r="AK702" s="5"/>
      <c r="AL702" s="5"/>
      <c r="AM702" s="5"/>
      <c r="AN702" s="5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</row>
    <row r="703" spans="1:240" ht="30" customHeight="1">
      <c r="A703" s="5">
        <v>701</v>
      </c>
      <c r="B703" s="5" t="s">
        <v>68</v>
      </c>
      <c r="C703" s="5"/>
      <c r="D703" s="5"/>
      <c r="E703" s="5">
        <v>2360</v>
      </c>
      <c r="F703" s="5">
        <v>1067</v>
      </c>
      <c r="G703" s="5">
        <v>1080</v>
      </c>
      <c r="H703" s="5">
        <v>214</v>
      </c>
      <c r="I703" s="5" t="s">
        <v>13</v>
      </c>
      <c r="J703" s="24">
        <v>11.826342912249737</v>
      </c>
      <c r="K703" s="30">
        <v>5</v>
      </c>
      <c r="L703" s="5">
        <v>68.2</v>
      </c>
      <c r="M703" s="31">
        <v>10</v>
      </c>
      <c r="N703" s="5" t="s">
        <v>48</v>
      </c>
      <c r="O703" s="5">
        <v>14340</v>
      </c>
      <c r="P703" s="5"/>
      <c r="Q703" s="5"/>
      <c r="R703" s="5">
        <v>2</v>
      </c>
      <c r="S703" s="5">
        <v>630</v>
      </c>
      <c r="T703" s="5">
        <v>690</v>
      </c>
      <c r="U703" s="5">
        <v>890</v>
      </c>
      <c r="V703" s="5">
        <v>1.2</v>
      </c>
      <c r="W703" s="5" t="s">
        <v>99</v>
      </c>
      <c r="X703" s="5">
        <v>46</v>
      </c>
      <c r="Y703" s="5">
        <v>158</v>
      </c>
      <c r="Z703" s="5">
        <v>23.2</v>
      </c>
      <c r="AA703" s="5" t="s">
        <v>68</v>
      </c>
      <c r="AB703" s="5"/>
      <c r="AC703" s="5"/>
      <c r="AD703" s="5"/>
      <c r="AE703" s="5"/>
      <c r="AF703" s="5" t="s">
        <v>68</v>
      </c>
      <c r="AG703" s="5"/>
      <c r="AH703" s="5"/>
      <c r="AI703" s="5"/>
      <c r="AJ703" s="5" t="s">
        <v>68</v>
      </c>
      <c r="AK703" s="5"/>
      <c r="AL703" s="5"/>
      <c r="AM703" s="5"/>
      <c r="AN703" s="5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</row>
    <row r="704" spans="1:240" ht="30" customHeight="1">
      <c r="A704" s="5">
        <v>702</v>
      </c>
      <c r="B704" s="5" t="s">
        <v>68</v>
      </c>
      <c r="C704" s="5"/>
      <c r="D704" s="5"/>
      <c r="E704" s="5">
        <v>3360</v>
      </c>
      <c r="F704" s="5">
        <v>1067</v>
      </c>
      <c r="G704" s="5">
        <v>1080</v>
      </c>
      <c r="H704" s="5">
        <v>261</v>
      </c>
      <c r="I704" s="5" t="s">
        <v>13</v>
      </c>
      <c r="J704" s="24">
        <v>15.710654953809765</v>
      </c>
      <c r="K704" s="30">
        <v>5</v>
      </c>
      <c r="L704" s="5">
        <v>90.6</v>
      </c>
      <c r="M704" s="31">
        <v>10</v>
      </c>
      <c r="N704" s="5" t="s">
        <v>48</v>
      </c>
      <c r="O704" s="5">
        <v>24420</v>
      </c>
      <c r="P704" s="5"/>
      <c r="Q704" s="5"/>
      <c r="R704" s="5">
        <v>3</v>
      </c>
      <c r="S704" s="5">
        <v>630</v>
      </c>
      <c r="T704" s="5">
        <v>690</v>
      </c>
      <c r="U704" s="5">
        <v>890</v>
      </c>
      <c r="V704" s="5">
        <v>1.8</v>
      </c>
      <c r="W704" s="5" t="s">
        <v>99</v>
      </c>
      <c r="X704" s="5">
        <v>48</v>
      </c>
      <c r="Y704" s="5">
        <v>118</v>
      </c>
      <c r="Z704" s="5">
        <v>17.399999999999999</v>
      </c>
      <c r="AA704" s="5" t="s">
        <v>68</v>
      </c>
      <c r="AB704" s="5"/>
      <c r="AC704" s="5"/>
      <c r="AD704" s="5"/>
      <c r="AE704" s="5"/>
      <c r="AF704" s="5" t="s">
        <v>68</v>
      </c>
      <c r="AG704" s="5"/>
      <c r="AH704" s="5"/>
      <c r="AI704" s="5"/>
      <c r="AJ704" s="5" t="s">
        <v>68</v>
      </c>
      <c r="AK704" s="5"/>
      <c r="AL704" s="5"/>
      <c r="AM704" s="5"/>
      <c r="AN704" s="5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</row>
    <row r="705" spans="1:240" ht="30" customHeight="1">
      <c r="A705" s="5">
        <v>703</v>
      </c>
      <c r="B705" s="5" t="s">
        <v>68</v>
      </c>
      <c r="C705" s="5"/>
      <c r="D705" s="5"/>
      <c r="E705" s="5">
        <v>3360</v>
      </c>
      <c r="F705" s="5">
        <v>1067</v>
      </c>
      <c r="G705" s="5">
        <v>1080</v>
      </c>
      <c r="H705" s="5">
        <v>283</v>
      </c>
      <c r="I705" s="5" t="s">
        <v>13</v>
      </c>
      <c r="J705" s="24">
        <v>17.21929400566567</v>
      </c>
      <c r="K705" s="30">
        <v>5</v>
      </c>
      <c r="L705" s="5">
        <v>99.3</v>
      </c>
      <c r="M705" s="31">
        <v>10</v>
      </c>
      <c r="N705" s="5" t="s">
        <v>48</v>
      </c>
      <c r="O705" s="5">
        <v>22770</v>
      </c>
      <c r="P705" s="5"/>
      <c r="Q705" s="5"/>
      <c r="R705" s="5">
        <v>3</v>
      </c>
      <c r="S705" s="5">
        <v>630</v>
      </c>
      <c r="T705" s="5">
        <v>690</v>
      </c>
      <c r="U705" s="5">
        <v>890</v>
      </c>
      <c r="V705" s="5">
        <v>1.8</v>
      </c>
      <c r="W705" s="5" t="s">
        <v>99</v>
      </c>
      <c r="X705" s="5">
        <v>48</v>
      </c>
      <c r="Y705" s="5">
        <v>177</v>
      </c>
      <c r="Z705" s="5">
        <v>26.1</v>
      </c>
      <c r="AA705" s="5" t="s">
        <v>68</v>
      </c>
      <c r="AB705" s="5"/>
      <c r="AC705" s="5"/>
      <c r="AD705" s="5"/>
      <c r="AE705" s="5"/>
      <c r="AF705" s="5" t="s">
        <v>68</v>
      </c>
      <c r="AG705" s="5"/>
      <c r="AH705" s="5"/>
      <c r="AI705" s="5"/>
      <c r="AJ705" s="5" t="s">
        <v>68</v>
      </c>
      <c r="AK705" s="5"/>
      <c r="AL705" s="5"/>
      <c r="AM705" s="5"/>
      <c r="AN705" s="5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</row>
    <row r="706" spans="1:240" ht="30" customHeight="1">
      <c r="A706" s="5">
        <v>704</v>
      </c>
      <c r="B706" s="5" t="s">
        <v>68</v>
      </c>
      <c r="C706" s="5"/>
      <c r="D706" s="5"/>
      <c r="E706" s="5">
        <v>3360</v>
      </c>
      <c r="F706" s="5">
        <v>1067</v>
      </c>
      <c r="G706" s="5">
        <v>1080</v>
      </c>
      <c r="H706" s="5">
        <v>305</v>
      </c>
      <c r="I706" s="5" t="s">
        <v>13</v>
      </c>
      <c r="J706" s="24">
        <v>17.687492332103712</v>
      </c>
      <c r="K706" s="30">
        <v>5</v>
      </c>
      <c r="L706" s="5">
        <v>102</v>
      </c>
      <c r="M706" s="31">
        <v>10</v>
      </c>
      <c r="N706" s="5" t="s">
        <v>48</v>
      </c>
      <c r="O706" s="5">
        <v>21510</v>
      </c>
      <c r="P706" s="5"/>
      <c r="Q706" s="5"/>
      <c r="R706" s="5">
        <v>3</v>
      </c>
      <c r="S706" s="5">
        <v>630</v>
      </c>
      <c r="T706" s="5">
        <v>690</v>
      </c>
      <c r="U706" s="5">
        <v>890</v>
      </c>
      <c r="V706" s="5">
        <v>1.8</v>
      </c>
      <c r="W706" s="5" t="s">
        <v>99</v>
      </c>
      <c r="X706" s="5">
        <v>48</v>
      </c>
      <c r="Y706" s="5">
        <v>236</v>
      </c>
      <c r="Z706" s="5">
        <v>34.799999999999997</v>
      </c>
      <c r="AA706" s="5" t="s">
        <v>68</v>
      </c>
      <c r="AB706" s="5"/>
      <c r="AC706" s="5"/>
      <c r="AD706" s="5"/>
      <c r="AE706" s="5"/>
      <c r="AF706" s="5" t="s">
        <v>68</v>
      </c>
      <c r="AG706" s="5"/>
      <c r="AH706" s="5"/>
      <c r="AI706" s="5"/>
      <c r="AJ706" s="5" t="s">
        <v>68</v>
      </c>
      <c r="AK706" s="5"/>
      <c r="AL706" s="5"/>
      <c r="AM706" s="5"/>
      <c r="AN706" s="5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</row>
    <row r="707" spans="1:240" ht="30" customHeight="1">
      <c r="A707" s="5">
        <v>705</v>
      </c>
      <c r="B707" s="5" t="s">
        <v>68</v>
      </c>
      <c r="C707" s="5"/>
      <c r="D707" s="5"/>
      <c r="E707" s="5">
        <v>1660</v>
      </c>
      <c r="F707" s="5">
        <v>1067</v>
      </c>
      <c r="G707" s="5">
        <v>1150</v>
      </c>
      <c r="H707" s="5">
        <v>111</v>
      </c>
      <c r="I707" s="5" t="s">
        <v>13</v>
      </c>
      <c r="J707" s="24">
        <v>6.7281833577021954</v>
      </c>
      <c r="K707" s="30">
        <v>5</v>
      </c>
      <c r="L707" s="5">
        <v>38.799999999999997</v>
      </c>
      <c r="M707" s="31">
        <v>10</v>
      </c>
      <c r="N707" s="5" t="s">
        <v>48</v>
      </c>
      <c r="O707" s="5">
        <v>10550</v>
      </c>
      <c r="P707" s="5"/>
      <c r="Q707" s="5"/>
      <c r="R707" s="5">
        <v>1</v>
      </c>
      <c r="S707" s="5">
        <v>710</v>
      </c>
      <c r="T707" s="5">
        <v>670</v>
      </c>
      <c r="U707" s="5">
        <v>880</v>
      </c>
      <c r="V707" s="5">
        <v>0.84</v>
      </c>
      <c r="W707" s="5" t="s">
        <v>99</v>
      </c>
      <c r="X707" s="5">
        <v>46</v>
      </c>
      <c r="Y707" s="5">
        <v>51</v>
      </c>
      <c r="Z707" s="5">
        <v>7.5</v>
      </c>
      <c r="AA707" s="5" t="s">
        <v>68</v>
      </c>
      <c r="AB707" s="5"/>
      <c r="AC707" s="5"/>
      <c r="AD707" s="5"/>
      <c r="AE707" s="5"/>
      <c r="AF707" s="5" t="s">
        <v>68</v>
      </c>
      <c r="AG707" s="5"/>
      <c r="AH707" s="5"/>
      <c r="AI707" s="5"/>
      <c r="AJ707" s="5" t="s">
        <v>68</v>
      </c>
      <c r="AK707" s="5"/>
      <c r="AL707" s="5"/>
      <c r="AM707" s="5"/>
      <c r="AN707" s="5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</row>
    <row r="708" spans="1:240" ht="30" customHeight="1">
      <c r="A708" s="5">
        <v>706</v>
      </c>
      <c r="B708" s="5" t="s">
        <v>68</v>
      </c>
      <c r="C708" s="5"/>
      <c r="D708" s="5"/>
      <c r="E708" s="5">
        <v>1660</v>
      </c>
      <c r="F708" s="5">
        <v>1067</v>
      </c>
      <c r="G708" s="5">
        <v>1150</v>
      </c>
      <c r="H708" s="5">
        <v>122</v>
      </c>
      <c r="I708" s="5" t="s">
        <v>13</v>
      </c>
      <c r="J708" s="24">
        <v>7.5952172955504169</v>
      </c>
      <c r="K708" s="30">
        <v>5</v>
      </c>
      <c r="L708" s="5">
        <v>43.8</v>
      </c>
      <c r="M708" s="31">
        <v>10</v>
      </c>
      <c r="N708" s="5" t="s">
        <v>48</v>
      </c>
      <c r="O708" s="5">
        <v>9900</v>
      </c>
      <c r="P708" s="5"/>
      <c r="Q708" s="5"/>
      <c r="R708" s="5">
        <v>1</v>
      </c>
      <c r="S708" s="5">
        <v>710</v>
      </c>
      <c r="T708" s="5">
        <v>670</v>
      </c>
      <c r="U708" s="5">
        <v>880</v>
      </c>
      <c r="V708" s="5">
        <v>0.84</v>
      </c>
      <c r="W708" s="5" t="s">
        <v>99</v>
      </c>
      <c r="X708" s="5">
        <v>46</v>
      </c>
      <c r="Y708" s="5">
        <v>77</v>
      </c>
      <c r="Z708" s="5">
        <v>11.2</v>
      </c>
      <c r="AA708" s="5" t="s">
        <v>68</v>
      </c>
      <c r="AB708" s="5"/>
      <c r="AC708" s="5"/>
      <c r="AD708" s="5"/>
      <c r="AE708" s="5"/>
      <c r="AF708" s="5" t="s">
        <v>68</v>
      </c>
      <c r="AG708" s="5"/>
      <c r="AH708" s="5"/>
      <c r="AI708" s="5"/>
      <c r="AJ708" s="5" t="s">
        <v>68</v>
      </c>
      <c r="AK708" s="5"/>
      <c r="AL708" s="5"/>
      <c r="AM708" s="5"/>
      <c r="AN708" s="5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</row>
    <row r="709" spans="1:240" ht="30" customHeight="1">
      <c r="A709" s="5">
        <v>707</v>
      </c>
      <c r="B709" s="5" t="s">
        <v>68</v>
      </c>
      <c r="C709" s="5"/>
      <c r="D709" s="5"/>
      <c r="E709" s="5">
        <v>1660</v>
      </c>
      <c r="F709" s="5">
        <v>1067</v>
      </c>
      <c r="G709" s="5">
        <v>1150</v>
      </c>
      <c r="H709" s="5">
        <v>131</v>
      </c>
      <c r="I709" s="5" t="s">
        <v>13</v>
      </c>
      <c r="J709" s="24">
        <v>7.8553274769048826</v>
      </c>
      <c r="K709" s="30">
        <v>5</v>
      </c>
      <c r="L709" s="5">
        <v>45.3</v>
      </c>
      <c r="M709" s="31">
        <v>10</v>
      </c>
      <c r="N709" s="5" t="s">
        <v>48</v>
      </c>
      <c r="O709" s="5">
        <v>9900</v>
      </c>
      <c r="P709" s="5"/>
      <c r="Q709" s="5"/>
      <c r="R709" s="5">
        <v>1</v>
      </c>
      <c r="S709" s="5">
        <v>710</v>
      </c>
      <c r="T709" s="5">
        <v>670</v>
      </c>
      <c r="U709" s="5">
        <v>880</v>
      </c>
      <c r="V709" s="5">
        <v>0.84</v>
      </c>
      <c r="W709" s="5" t="s">
        <v>99</v>
      </c>
      <c r="X709" s="5">
        <v>46</v>
      </c>
      <c r="Y709" s="5">
        <v>102</v>
      </c>
      <c r="Z709" s="5">
        <v>15</v>
      </c>
      <c r="AA709" s="5" t="s">
        <v>68</v>
      </c>
      <c r="AB709" s="5"/>
      <c r="AC709" s="5"/>
      <c r="AD709" s="5"/>
      <c r="AE709" s="5"/>
      <c r="AF709" s="5" t="s">
        <v>68</v>
      </c>
      <c r="AG709" s="5"/>
      <c r="AH709" s="5"/>
      <c r="AI709" s="5"/>
      <c r="AJ709" s="5" t="s">
        <v>68</v>
      </c>
      <c r="AK709" s="5"/>
      <c r="AL709" s="5"/>
      <c r="AM709" s="5"/>
      <c r="AN709" s="5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</row>
    <row r="710" spans="1:240" ht="30" customHeight="1">
      <c r="A710" s="5">
        <v>708</v>
      </c>
      <c r="B710" s="5" t="s">
        <v>68</v>
      </c>
      <c r="C710" s="5"/>
      <c r="D710" s="5"/>
      <c r="E710" s="5">
        <v>2960</v>
      </c>
      <c r="F710" s="5">
        <v>1067</v>
      </c>
      <c r="G710" s="5">
        <v>1150</v>
      </c>
      <c r="H710" s="5">
        <v>178</v>
      </c>
      <c r="I710" s="5" t="s">
        <v>13</v>
      </c>
      <c r="J710" s="24">
        <v>13.456366715404391</v>
      </c>
      <c r="K710" s="30">
        <v>5</v>
      </c>
      <c r="L710" s="5">
        <v>77.599999999999994</v>
      </c>
      <c r="M710" s="31">
        <v>10</v>
      </c>
      <c r="N710" s="5" t="s">
        <v>48</v>
      </c>
      <c r="O710" s="5">
        <v>21100</v>
      </c>
      <c r="P710" s="5"/>
      <c r="Q710" s="5"/>
      <c r="R710" s="5">
        <v>2</v>
      </c>
      <c r="S710" s="5">
        <v>710</v>
      </c>
      <c r="T710" s="5">
        <v>670</v>
      </c>
      <c r="U710" s="5">
        <v>880</v>
      </c>
      <c r="V710" s="5">
        <v>1.68</v>
      </c>
      <c r="W710" s="5" t="s">
        <v>99</v>
      </c>
      <c r="X710" s="5">
        <v>48</v>
      </c>
      <c r="Y710" s="5">
        <v>102</v>
      </c>
      <c r="Z710" s="5">
        <v>14.7</v>
      </c>
      <c r="AA710" s="5" t="s">
        <v>68</v>
      </c>
      <c r="AB710" s="5"/>
      <c r="AC710" s="5"/>
      <c r="AD710" s="5"/>
      <c r="AE710" s="5"/>
      <c r="AF710" s="5" t="s">
        <v>68</v>
      </c>
      <c r="AG710" s="5"/>
      <c r="AH710" s="5"/>
      <c r="AI710" s="5"/>
      <c r="AJ710" s="5" t="s">
        <v>68</v>
      </c>
      <c r="AK710" s="5"/>
      <c r="AL710" s="5"/>
      <c r="AM710" s="5"/>
      <c r="AN710" s="5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</row>
    <row r="711" spans="1:240" ht="30" customHeight="1">
      <c r="A711" s="5">
        <v>709</v>
      </c>
      <c r="B711" s="5" t="s">
        <v>68</v>
      </c>
      <c r="C711" s="5"/>
      <c r="D711" s="5"/>
      <c r="E711" s="5">
        <v>2960</v>
      </c>
      <c r="F711" s="5">
        <v>1067</v>
      </c>
      <c r="G711" s="5">
        <v>1150</v>
      </c>
      <c r="H711" s="5">
        <v>198</v>
      </c>
      <c r="I711" s="5" t="s">
        <v>13</v>
      </c>
      <c r="J711" s="24">
        <v>15.190434591100834</v>
      </c>
      <c r="K711" s="30">
        <v>5</v>
      </c>
      <c r="L711" s="5">
        <v>87.6</v>
      </c>
      <c r="M711" s="31">
        <v>10</v>
      </c>
      <c r="N711" s="5" t="s">
        <v>48</v>
      </c>
      <c r="O711" s="5">
        <v>19800</v>
      </c>
      <c r="P711" s="5"/>
      <c r="Q711" s="5"/>
      <c r="R711" s="5">
        <v>2</v>
      </c>
      <c r="S711" s="5">
        <v>710</v>
      </c>
      <c r="T711" s="5">
        <v>670</v>
      </c>
      <c r="U711" s="5">
        <v>880</v>
      </c>
      <c r="V711" s="5">
        <v>1.68</v>
      </c>
      <c r="W711" s="5" t="s">
        <v>99</v>
      </c>
      <c r="X711" s="5">
        <v>48</v>
      </c>
      <c r="Y711" s="5">
        <v>154</v>
      </c>
      <c r="Z711" s="5">
        <v>22.1</v>
      </c>
      <c r="AA711" s="5" t="s">
        <v>68</v>
      </c>
      <c r="AB711" s="5"/>
      <c r="AC711" s="5"/>
      <c r="AD711" s="5"/>
      <c r="AE711" s="5"/>
      <c r="AF711" s="5" t="s">
        <v>68</v>
      </c>
      <c r="AG711" s="5"/>
      <c r="AH711" s="5"/>
      <c r="AI711" s="5"/>
      <c r="AJ711" s="5" t="s">
        <v>68</v>
      </c>
      <c r="AK711" s="5"/>
      <c r="AL711" s="5"/>
      <c r="AM711" s="5"/>
      <c r="AN711" s="5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</row>
    <row r="712" spans="1:240" ht="30" customHeight="1">
      <c r="A712" s="5">
        <v>710</v>
      </c>
      <c r="B712" s="5" t="s">
        <v>68</v>
      </c>
      <c r="C712" s="5"/>
      <c r="D712" s="5"/>
      <c r="E712" s="5">
        <v>2960</v>
      </c>
      <c r="F712" s="5">
        <v>1067</v>
      </c>
      <c r="G712" s="5">
        <v>1150</v>
      </c>
      <c r="H712" s="5">
        <v>216</v>
      </c>
      <c r="I712" s="5" t="s">
        <v>13</v>
      </c>
      <c r="J712" s="24">
        <v>15.710654953809765</v>
      </c>
      <c r="K712" s="30">
        <v>5</v>
      </c>
      <c r="L712" s="5">
        <v>90.6</v>
      </c>
      <c r="M712" s="31">
        <v>10</v>
      </c>
      <c r="N712" s="5" t="s">
        <v>48</v>
      </c>
      <c r="O712" s="5">
        <v>19800</v>
      </c>
      <c r="P712" s="5"/>
      <c r="Q712" s="5"/>
      <c r="R712" s="5">
        <v>2</v>
      </c>
      <c r="S712" s="5">
        <v>710</v>
      </c>
      <c r="T712" s="5">
        <v>670</v>
      </c>
      <c r="U712" s="5">
        <v>880</v>
      </c>
      <c r="V712" s="5">
        <v>1.68</v>
      </c>
      <c r="W712" s="5" t="s">
        <v>99</v>
      </c>
      <c r="X712" s="5">
        <v>48</v>
      </c>
      <c r="Y712" s="5">
        <v>205</v>
      </c>
      <c r="Z712" s="5">
        <v>29.5</v>
      </c>
      <c r="AA712" s="5" t="s">
        <v>68</v>
      </c>
      <c r="AB712" s="5"/>
      <c r="AC712" s="5"/>
      <c r="AD712" s="5"/>
      <c r="AE712" s="5"/>
      <c r="AF712" s="5" t="s">
        <v>68</v>
      </c>
      <c r="AG712" s="5"/>
      <c r="AH712" s="5"/>
      <c r="AI712" s="5"/>
      <c r="AJ712" s="5" t="s">
        <v>68</v>
      </c>
      <c r="AK712" s="5"/>
      <c r="AL712" s="5"/>
      <c r="AM712" s="5"/>
      <c r="AN712" s="5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</row>
    <row r="713" spans="1:240" ht="30" customHeight="1">
      <c r="A713" s="5">
        <v>711</v>
      </c>
      <c r="B713" s="5" t="s">
        <v>68</v>
      </c>
      <c r="C713" s="5"/>
      <c r="D713" s="5"/>
      <c r="E713" s="5">
        <v>4260</v>
      </c>
      <c r="F713" s="5">
        <v>1067</v>
      </c>
      <c r="G713" s="5">
        <v>1150</v>
      </c>
      <c r="H713" s="5">
        <v>247</v>
      </c>
      <c r="I713" s="5" t="s">
        <v>13</v>
      </c>
      <c r="J713" s="24">
        <v>20.115187358078728</v>
      </c>
      <c r="K713" s="30">
        <v>5</v>
      </c>
      <c r="L713" s="5">
        <v>116</v>
      </c>
      <c r="M713" s="31">
        <v>10</v>
      </c>
      <c r="N713" s="5" t="s">
        <v>48</v>
      </c>
      <c r="O713" s="5">
        <v>31650</v>
      </c>
      <c r="P713" s="5"/>
      <c r="Q713" s="5"/>
      <c r="R713" s="5">
        <v>3</v>
      </c>
      <c r="S713" s="5">
        <v>710</v>
      </c>
      <c r="T713" s="5">
        <v>670</v>
      </c>
      <c r="U713" s="5">
        <v>880</v>
      </c>
      <c r="V713" s="5">
        <v>2.52</v>
      </c>
      <c r="W713" s="5" t="s">
        <v>99</v>
      </c>
      <c r="X713" s="5">
        <v>50</v>
      </c>
      <c r="Y713" s="5">
        <v>154</v>
      </c>
      <c r="Z713" s="5">
        <v>22</v>
      </c>
      <c r="AA713" s="5" t="s">
        <v>68</v>
      </c>
      <c r="AB713" s="5"/>
      <c r="AC713" s="5"/>
      <c r="AD713" s="5"/>
      <c r="AE713" s="5"/>
      <c r="AF713" s="5" t="s">
        <v>68</v>
      </c>
      <c r="AG713" s="5"/>
      <c r="AH713" s="5"/>
      <c r="AI713" s="5"/>
      <c r="AJ713" s="5" t="s">
        <v>68</v>
      </c>
      <c r="AK713" s="5"/>
      <c r="AL713" s="5"/>
      <c r="AM713" s="5"/>
      <c r="AN713" s="5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</row>
    <row r="714" spans="1:240" ht="30" customHeight="1">
      <c r="A714" s="5">
        <v>712</v>
      </c>
      <c r="B714" s="5" t="s">
        <v>68</v>
      </c>
      <c r="C714" s="5"/>
      <c r="D714" s="5"/>
      <c r="E714" s="5">
        <v>4260</v>
      </c>
      <c r="F714" s="5">
        <v>1067</v>
      </c>
      <c r="G714" s="5">
        <v>1150</v>
      </c>
      <c r="H714" s="5">
        <v>276</v>
      </c>
      <c r="I714" s="5" t="s">
        <v>13</v>
      </c>
      <c r="J714" s="24">
        <v>22.716289171623394</v>
      </c>
      <c r="K714" s="30">
        <v>5</v>
      </c>
      <c r="L714" s="5">
        <v>131</v>
      </c>
      <c r="M714" s="31">
        <v>10</v>
      </c>
      <c r="N714" s="5" t="s">
        <v>48</v>
      </c>
      <c r="O714" s="5">
        <v>29700</v>
      </c>
      <c r="P714" s="5"/>
      <c r="Q714" s="5"/>
      <c r="R714" s="5">
        <v>3</v>
      </c>
      <c r="S714" s="5">
        <v>710</v>
      </c>
      <c r="T714" s="5">
        <v>670</v>
      </c>
      <c r="U714" s="5">
        <v>880</v>
      </c>
      <c r="V714" s="5">
        <v>2.52</v>
      </c>
      <c r="W714" s="5" t="s">
        <v>99</v>
      </c>
      <c r="X714" s="5">
        <v>50</v>
      </c>
      <c r="Y714" s="5">
        <v>230</v>
      </c>
      <c r="Z714" s="5">
        <v>33</v>
      </c>
      <c r="AA714" s="5" t="s">
        <v>68</v>
      </c>
      <c r="AB714" s="5"/>
      <c r="AC714" s="5"/>
      <c r="AD714" s="5"/>
      <c r="AE714" s="5"/>
      <c r="AF714" s="5" t="s">
        <v>68</v>
      </c>
      <c r="AG714" s="5"/>
      <c r="AH714" s="5"/>
      <c r="AI714" s="5"/>
      <c r="AJ714" s="5" t="s">
        <v>68</v>
      </c>
      <c r="AK714" s="5"/>
      <c r="AL714" s="5"/>
      <c r="AM714" s="5"/>
      <c r="AN714" s="5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</row>
    <row r="715" spans="1:240" ht="30" customHeight="1">
      <c r="A715" s="5">
        <v>713</v>
      </c>
      <c r="B715" s="5" t="s">
        <v>68</v>
      </c>
      <c r="C715" s="5"/>
      <c r="D715" s="5"/>
      <c r="E715" s="5">
        <v>4260</v>
      </c>
      <c r="F715" s="5">
        <v>1067</v>
      </c>
      <c r="G715" s="5">
        <v>1150</v>
      </c>
      <c r="H715" s="5">
        <v>304</v>
      </c>
      <c r="I715" s="5" t="s">
        <v>13</v>
      </c>
      <c r="J715" s="24">
        <v>23.58332310947161</v>
      </c>
      <c r="K715" s="30">
        <v>5</v>
      </c>
      <c r="L715" s="5">
        <v>136</v>
      </c>
      <c r="M715" s="31">
        <v>10</v>
      </c>
      <c r="N715" s="5" t="s">
        <v>48</v>
      </c>
      <c r="O715" s="5">
        <v>29700</v>
      </c>
      <c r="P715" s="5"/>
      <c r="Q715" s="5"/>
      <c r="R715" s="5">
        <v>3</v>
      </c>
      <c r="S715" s="5">
        <v>710</v>
      </c>
      <c r="T715" s="5">
        <v>670</v>
      </c>
      <c r="U715" s="5">
        <v>880</v>
      </c>
      <c r="V715" s="5">
        <v>2.52</v>
      </c>
      <c r="W715" s="5" t="s">
        <v>99</v>
      </c>
      <c r="X715" s="5">
        <v>50</v>
      </c>
      <c r="Y715" s="5">
        <v>307</v>
      </c>
      <c r="Z715" s="5">
        <v>44</v>
      </c>
      <c r="AA715" s="5" t="s">
        <v>68</v>
      </c>
      <c r="AB715" s="5"/>
      <c r="AC715" s="5"/>
      <c r="AD715" s="5"/>
      <c r="AE715" s="5"/>
      <c r="AF715" s="5" t="s">
        <v>68</v>
      </c>
      <c r="AG715" s="5"/>
      <c r="AH715" s="5"/>
      <c r="AI715" s="5"/>
      <c r="AJ715" s="5" t="s">
        <v>68</v>
      </c>
      <c r="AK715" s="5"/>
      <c r="AL715" s="5"/>
      <c r="AM715" s="5"/>
      <c r="AN715" s="5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</row>
    <row r="716" spans="1:240" ht="30" customHeight="1">
      <c r="A716" s="5">
        <v>714</v>
      </c>
      <c r="B716" s="5" t="s">
        <v>68</v>
      </c>
      <c r="C716" s="5"/>
      <c r="D716" s="5"/>
      <c r="E716" s="5">
        <v>5560</v>
      </c>
      <c r="F716" s="5">
        <v>1067</v>
      </c>
      <c r="G716" s="5">
        <v>1150</v>
      </c>
      <c r="H716" s="5">
        <v>316</v>
      </c>
      <c r="I716" s="5" t="s">
        <v>13</v>
      </c>
      <c r="J716" s="24">
        <v>26.878052073294857</v>
      </c>
      <c r="K716" s="30">
        <v>5</v>
      </c>
      <c r="L716" s="5">
        <v>155</v>
      </c>
      <c r="M716" s="31">
        <v>10</v>
      </c>
      <c r="N716" s="5" t="s">
        <v>48</v>
      </c>
      <c r="O716" s="5">
        <v>42200</v>
      </c>
      <c r="P716" s="5"/>
      <c r="Q716" s="5"/>
      <c r="R716" s="5">
        <v>4</v>
      </c>
      <c r="S716" s="5">
        <v>710</v>
      </c>
      <c r="T716" s="5">
        <v>670</v>
      </c>
      <c r="U716" s="5">
        <v>880</v>
      </c>
      <c r="V716" s="5">
        <v>3.36</v>
      </c>
      <c r="W716" s="5" t="s">
        <v>99</v>
      </c>
      <c r="X716" s="5">
        <v>51</v>
      </c>
      <c r="Y716" s="5">
        <v>205</v>
      </c>
      <c r="Z716" s="5">
        <v>29.2</v>
      </c>
      <c r="AA716" s="5" t="s">
        <v>68</v>
      </c>
      <c r="AB716" s="5"/>
      <c r="AC716" s="5"/>
      <c r="AD716" s="5"/>
      <c r="AE716" s="5"/>
      <c r="AF716" s="5" t="s">
        <v>68</v>
      </c>
      <c r="AG716" s="5"/>
      <c r="AH716" s="5"/>
      <c r="AI716" s="5"/>
      <c r="AJ716" s="5" t="s">
        <v>68</v>
      </c>
      <c r="AK716" s="5"/>
      <c r="AL716" s="5"/>
      <c r="AM716" s="5"/>
      <c r="AN716" s="5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</row>
    <row r="717" spans="1:240" ht="30" customHeight="1">
      <c r="A717" s="5">
        <v>715</v>
      </c>
      <c r="B717" s="5" t="s">
        <v>68</v>
      </c>
      <c r="C717" s="5"/>
      <c r="D717" s="5"/>
      <c r="E717" s="5">
        <v>5560</v>
      </c>
      <c r="F717" s="5">
        <v>1067</v>
      </c>
      <c r="G717" s="5">
        <v>1150</v>
      </c>
      <c r="H717" s="5">
        <v>358</v>
      </c>
      <c r="I717" s="5" t="s">
        <v>13</v>
      </c>
      <c r="J717" s="24">
        <v>30.346187824687739</v>
      </c>
      <c r="K717" s="30">
        <v>5</v>
      </c>
      <c r="L717" s="5">
        <v>175</v>
      </c>
      <c r="M717" s="31">
        <v>10</v>
      </c>
      <c r="N717" s="5" t="s">
        <v>48</v>
      </c>
      <c r="O717" s="5">
        <v>39600</v>
      </c>
      <c r="P717" s="5"/>
      <c r="Q717" s="5"/>
      <c r="R717" s="5">
        <v>4</v>
      </c>
      <c r="S717" s="5">
        <v>710</v>
      </c>
      <c r="T717" s="5">
        <v>670</v>
      </c>
      <c r="U717" s="5">
        <v>880</v>
      </c>
      <c r="V717" s="5">
        <v>3.36</v>
      </c>
      <c r="W717" s="5" t="s">
        <v>99</v>
      </c>
      <c r="X717" s="5">
        <v>51</v>
      </c>
      <c r="Y717" s="5">
        <v>307</v>
      </c>
      <c r="Z717" s="5">
        <v>43.9</v>
      </c>
      <c r="AA717" s="5" t="s">
        <v>68</v>
      </c>
      <c r="AB717" s="5"/>
      <c r="AC717" s="5"/>
      <c r="AD717" s="5"/>
      <c r="AE717" s="5"/>
      <c r="AF717" s="5" t="s">
        <v>68</v>
      </c>
      <c r="AG717" s="5"/>
      <c r="AH717" s="5"/>
      <c r="AI717" s="5"/>
      <c r="AJ717" s="5" t="s">
        <v>68</v>
      </c>
      <c r="AK717" s="5"/>
      <c r="AL717" s="5"/>
      <c r="AM717" s="5"/>
      <c r="AN717" s="5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</row>
    <row r="718" spans="1:240" ht="30" customHeight="1">
      <c r="A718" s="5">
        <v>716</v>
      </c>
      <c r="B718" s="5" t="s">
        <v>68</v>
      </c>
      <c r="C718" s="5"/>
      <c r="D718" s="5"/>
      <c r="E718" s="5">
        <v>5560</v>
      </c>
      <c r="F718" s="5">
        <v>1067</v>
      </c>
      <c r="G718" s="5">
        <v>1150</v>
      </c>
      <c r="H718" s="5">
        <v>391</v>
      </c>
      <c r="I718" s="5" t="s">
        <v>13</v>
      </c>
      <c r="J718" s="24">
        <v>31.386628550105598</v>
      </c>
      <c r="K718" s="30">
        <v>5</v>
      </c>
      <c r="L718" s="5">
        <v>181</v>
      </c>
      <c r="M718" s="31">
        <v>10</v>
      </c>
      <c r="N718" s="5" t="s">
        <v>48</v>
      </c>
      <c r="O718" s="5">
        <v>39600</v>
      </c>
      <c r="P718" s="5"/>
      <c r="Q718" s="5"/>
      <c r="R718" s="5">
        <v>4</v>
      </c>
      <c r="S718" s="5">
        <v>710</v>
      </c>
      <c r="T718" s="5">
        <v>670</v>
      </c>
      <c r="U718" s="5">
        <v>880</v>
      </c>
      <c r="V718" s="5">
        <v>3.36</v>
      </c>
      <c r="W718" s="5" t="s">
        <v>99</v>
      </c>
      <c r="X718" s="5">
        <v>51</v>
      </c>
      <c r="Y718" s="5">
        <v>410</v>
      </c>
      <c r="Z718" s="5">
        <v>58.5</v>
      </c>
      <c r="AA718" s="5" t="s">
        <v>68</v>
      </c>
      <c r="AB718" s="5"/>
      <c r="AC718" s="5"/>
      <c r="AD718" s="5"/>
      <c r="AE718" s="5"/>
      <c r="AF718" s="5" t="s">
        <v>68</v>
      </c>
      <c r="AG718" s="5"/>
      <c r="AH718" s="5"/>
      <c r="AI718" s="5"/>
      <c r="AJ718" s="5" t="s">
        <v>68</v>
      </c>
      <c r="AK718" s="5"/>
      <c r="AL718" s="5"/>
      <c r="AM718" s="5"/>
      <c r="AN718" s="5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</row>
    <row r="719" spans="1:240" ht="30" customHeight="1">
      <c r="A719" s="5">
        <v>717</v>
      </c>
      <c r="B719" s="5" t="s">
        <v>68</v>
      </c>
      <c r="C719" s="5"/>
      <c r="D719" s="5"/>
      <c r="E719" s="5">
        <v>1660</v>
      </c>
      <c r="F719" s="5">
        <v>1067</v>
      </c>
      <c r="G719" s="5">
        <v>1150</v>
      </c>
      <c r="H719" s="5">
        <v>111</v>
      </c>
      <c r="I719" s="5" t="s">
        <v>13</v>
      </c>
      <c r="J719" s="24">
        <v>5.4623138084437928</v>
      </c>
      <c r="K719" s="30">
        <v>5</v>
      </c>
      <c r="L719" s="5">
        <v>31.5</v>
      </c>
      <c r="M719" s="31">
        <v>10</v>
      </c>
      <c r="N719" s="5" t="s">
        <v>48</v>
      </c>
      <c r="O719" s="5">
        <v>7650</v>
      </c>
      <c r="P719" s="5"/>
      <c r="Q719" s="5"/>
      <c r="R719" s="5">
        <v>1</v>
      </c>
      <c r="S719" s="5">
        <v>710</v>
      </c>
      <c r="T719" s="5">
        <v>475</v>
      </c>
      <c r="U719" s="5">
        <v>645</v>
      </c>
      <c r="V719" s="5">
        <v>0.44</v>
      </c>
      <c r="W719" s="5" t="s">
        <v>99</v>
      </c>
      <c r="X719" s="5">
        <v>37</v>
      </c>
      <c r="Y719" s="5">
        <v>51</v>
      </c>
      <c r="Z719" s="5">
        <v>7.5</v>
      </c>
      <c r="AA719" s="5" t="s">
        <v>68</v>
      </c>
      <c r="AB719" s="5"/>
      <c r="AC719" s="5"/>
      <c r="AD719" s="5"/>
      <c r="AE719" s="5"/>
      <c r="AF719" s="5" t="s">
        <v>68</v>
      </c>
      <c r="AG719" s="5"/>
      <c r="AH719" s="5"/>
      <c r="AI719" s="5"/>
      <c r="AJ719" s="5" t="s">
        <v>68</v>
      </c>
      <c r="AK719" s="5"/>
      <c r="AL719" s="5"/>
      <c r="AM719" s="5"/>
      <c r="AN719" s="5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</row>
    <row r="720" spans="1:240" ht="30" customHeight="1">
      <c r="A720" s="5">
        <v>718</v>
      </c>
      <c r="B720" s="5" t="s">
        <v>68</v>
      </c>
      <c r="C720" s="5"/>
      <c r="D720" s="5"/>
      <c r="E720" s="5">
        <v>1660</v>
      </c>
      <c r="F720" s="5">
        <v>1067</v>
      </c>
      <c r="G720" s="5">
        <v>1150</v>
      </c>
      <c r="H720" s="5">
        <v>122</v>
      </c>
      <c r="I720" s="5" t="s">
        <v>13</v>
      </c>
      <c r="J720" s="24">
        <v>5.8784900986109383</v>
      </c>
      <c r="K720" s="30">
        <v>5</v>
      </c>
      <c r="L720" s="5">
        <v>33.9</v>
      </c>
      <c r="M720" s="31">
        <v>10</v>
      </c>
      <c r="N720" s="5" t="s">
        <v>48</v>
      </c>
      <c r="O720" s="5">
        <v>7140</v>
      </c>
      <c r="P720" s="5"/>
      <c r="Q720" s="5"/>
      <c r="R720" s="5">
        <v>1</v>
      </c>
      <c r="S720" s="5">
        <v>710</v>
      </c>
      <c r="T720" s="5">
        <v>475</v>
      </c>
      <c r="U720" s="5">
        <v>645</v>
      </c>
      <c r="V720" s="5">
        <v>0.44</v>
      </c>
      <c r="W720" s="5" t="s">
        <v>99</v>
      </c>
      <c r="X720" s="5">
        <v>37</v>
      </c>
      <c r="Y720" s="5">
        <v>77</v>
      </c>
      <c r="Z720" s="5">
        <v>11.2</v>
      </c>
      <c r="AA720" s="5" t="s">
        <v>68</v>
      </c>
      <c r="AB720" s="5"/>
      <c r="AC720" s="5"/>
      <c r="AD720" s="5"/>
      <c r="AE720" s="5"/>
      <c r="AF720" s="5" t="s">
        <v>68</v>
      </c>
      <c r="AG720" s="5"/>
      <c r="AH720" s="5"/>
      <c r="AI720" s="5"/>
      <c r="AJ720" s="5" t="s">
        <v>68</v>
      </c>
      <c r="AK720" s="5"/>
      <c r="AL720" s="5"/>
      <c r="AM720" s="5"/>
      <c r="AN720" s="5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</row>
    <row r="721" spans="1:240" ht="30" customHeight="1">
      <c r="A721" s="5">
        <v>719</v>
      </c>
      <c r="B721" s="5" t="s">
        <v>68</v>
      </c>
      <c r="C721" s="5"/>
      <c r="D721" s="5"/>
      <c r="E721" s="5">
        <v>1660</v>
      </c>
      <c r="F721" s="5">
        <v>1067</v>
      </c>
      <c r="G721" s="5">
        <v>1150</v>
      </c>
      <c r="H721" s="5">
        <v>131</v>
      </c>
      <c r="I721" s="5" t="s">
        <v>13</v>
      </c>
      <c r="J721" s="24">
        <v>5.982534171152726</v>
      </c>
      <c r="K721" s="30">
        <v>5</v>
      </c>
      <c r="L721" s="5">
        <v>34.5</v>
      </c>
      <c r="M721" s="31">
        <v>10</v>
      </c>
      <c r="N721" s="5" t="s">
        <v>48</v>
      </c>
      <c r="O721" s="5">
        <v>7140</v>
      </c>
      <c r="P721" s="5"/>
      <c r="Q721" s="5"/>
      <c r="R721" s="5">
        <v>1</v>
      </c>
      <c r="S721" s="5">
        <v>710</v>
      </c>
      <c r="T721" s="5">
        <v>475</v>
      </c>
      <c r="U721" s="5">
        <v>645</v>
      </c>
      <c r="V721" s="5">
        <v>0.44</v>
      </c>
      <c r="W721" s="5" t="s">
        <v>99</v>
      </c>
      <c r="X721" s="5">
        <v>37</v>
      </c>
      <c r="Y721" s="5">
        <v>102</v>
      </c>
      <c r="Z721" s="5">
        <v>15</v>
      </c>
      <c r="AA721" s="5" t="s">
        <v>68</v>
      </c>
      <c r="AB721" s="5"/>
      <c r="AC721" s="5"/>
      <c r="AD721" s="5"/>
      <c r="AE721" s="5"/>
      <c r="AF721" s="5" t="s">
        <v>68</v>
      </c>
      <c r="AG721" s="5"/>
      <c r="AH721" s="5"/>
      <c r="AI721" s="5"/>
      <c r="AJ721" s="5" t="s">
        <v>68</v>
      </c>
      <c r="AK721" s="5"/>
      <c r="AL721" s="5"/>
      <c r="AM721" s="5"/>
      <c r="AN721" s="5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</row>
    <row r="722" spans="1:240" ht="30" customHeight="1">
      <c r="A722" s="5">
        <v>720</v>
      </c>
      <c r="B722" s="5" t="s">
        <v>68</v>
      </c>
      <c r="C722" s="5"/>
      <c r="D722" s="5"/>
      <c r="E722" s="5">
        <v>2960</v>
      </c>
      <c r="F722" s="5">
        <v>1067</v>
      </c>
      <c r="G722" s="5">
        <v>1150</v>
      </c>
      <c r="H722" s="5">
        <v>178</v>
      </c>
      <c r="I722" s="5" t="s">
        <v>13</v>
      </c>
      <c r="J722" s="24">
        <v>10.924627616887586</v>
      </c>
      <c r="K722" s="30">
        <v>5</v>
      </c>
      <c r="L722" s="5">
        <v>63</v>
      </c>
      <c r="M722" s="31">
        <v>10</v>
      </c>
      <c r="N722" s="5" t="s">
        <v>48</v>
      </c>
      <c r="O722" s="5">
        <v>15300</v>
      </c>
      <c r="P722" s="5"/>
      <c r="Q722" s="5"/>
      <c r="R722" s="5">
        <v>2</v>
      </c>
      <c r="S722" s="5">
        <v>710</v>
      </c>
      <c r="T722" s="5">
        <v>475</v>
      </c>
      <c r="U722" s="5">
        <v>645</v>
      </c>
      <c r="V722" s="5">
        <v>0.88</v>
      </c>
      <c r="W722" s="5" t="s">
        <v>99</v>
      </c>
      <c r="X722" s="5">
        <v>40</v>
      </c>
      <c r="Y722" s="5">
        <v>102</v>
      </c>
      <c r="Z722" s="5">
        <v>14.7</v>
      </c>
      <c r="AA722" s="5" t="s">
        <v>68</v>
      </c>
      <c r="AB722" s="5"/>
      <c r="AC722" s="5"/>
      <c r="AD722" s="5"/>
      <c r="AE722" s="5"/>
      <c r="AF722" s="5" t="s">
        <v>68</v>
      </c>
      <c r="AG722" s="5"/>
      <c r="AH722" s="5"/>
      <c r="AI722" s="5"/>
      <c r="AJ722" s="5" t="s">
        <v>68</v>
      </c>
      <c r="AK722" s="5"/>
      <c r="AL722" s="5"/>
      <c r="AM722" s="5"/>
      <c r="AN722" s="5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</row>
    <row r="723" spans="1:240" ht="30" customHeight="1">
      <c r="A723" s="5">
        <v>721</v>
      </c>
      <c r="B723" s="5" t="s">
        <v>68</v>
      </c>
      <c r="C723" s="5"/>
      <c r="D723" s="5"/>
      <c r="E723" s="5">
        <v>2960</v>
      </c>
      <c r="F723" s="5">
        <v>1067</v>
      </c>
      <c r="G723" s="5">
        <v>1150</v>
      </c>
      <c r="H723" s="5">
        <v>198</v>
      </c>
      <c r="I723" s="5" t="s">
        <v>13</v>
      </c>
      <c r="J723" s="24">
        <v>11.756980197221877</v>
      </c>
      <c r="K723" s="30">
        <v>5</v>
      </c>
      <c r="L723" s="5">
        <v>67.8</v>
      </c>
      <c r="M723" s="31">
        <v>10</v>
      </c>
      <c r="N723" s="5" t="s">
        <v>48</v>
      </c>
      <c r="O723" s="5">
        <v>14280</v>
      </c>
      <c r="P723" s="5"/>
      <c r="Q723" s="5"/>
      <c r="R723" s="5">
        <v>2</v>
      </c>
      <c r="S723" s="5">
        <v>710</v>
      </c>
      <c r="T723" s="5">
        <v>475</v>
      </c>
      <c r="U723" s="5">
        <v>645</v>
      </c>
      <c r="V723" s="5">
        <v>0.88</v>
      </c>
      <c r="W723" s="5" t="s">
        <v>99</v>
      </c>
      <c r="X723" s="5">
        <v>40</v>
      </c>
      <c r="Y723" s="5">
        <v>154</v>
      </c>
      <c r="Z723" s="5">
        <v>22.1</v>
      </c>
      <c r="AA723" s="5" t="s">
        <v>68</v>
      </c>
      <c r="AB723" s="5"/>
      <c r="AC723" s="5"/>
      <c r="AD723" s="5"/>
      <c r="AE723" s="5"/>
      <c r="AF723" s="5" t="s">
        <v>68</v>
      </c>
      <c r="AG723" s="5"/>
      <c r="AH723" s="5"/>
      <c r="AI723" s="5"/>
      <c r="AJ723" s="5" t="s">
        <v>68</v>
      </c>
      <c r="AK723" s="5"/>
      <c r="AL723" s="5"/>
      <c r="AM723" s="5"/>
      <c r="AN723" s="5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</row>
    <row r="724" spans="1:240" ht="30" customHeight="1">
      <c r="A724" s="5">
        <v>722</v>
      </c>
      <c r="B724" s="5" t="s">
        <v>68</v>
      </c>
      <c r="C724" s="5"/>
      <c r="D724" s="5"/>
      <c r="E724" s="5">
        <v>2960</v>
      </c>
      <c r="F724" s="5">
        <v>1067</v>
      </c>
      <c r="G724" s="5">
        <v>1150</v>
      </c>
      <c r="H724" s="5">
        <v>216</v>
      </c>
      <c r="I724" s="5" t="s">
        <v>13</v>
      </c>
      <c r="J724" s="24">
        <v>11.965068342305452</v>
      </c>
      <c r="K724" s="30">
        <v>5</v>
      </c>
      <c r="L724" s="5">
        <v>69</v>
      </c>
      <c r="M724" s="31">
        <v>10</v>
      </c>
      <c r="N724" s="5" t="s">
        <v>48</v>
      </c>
      <c r="O724" s="5">
        <v>14280</v>
      </c>
      <c r="P724" s="5"/>
      <c r="Q724" s="5"/>
      <c r="R724" s="5">
        <v>2</v>
      </c>
      <c r="S724" s="5">
        <v>710</v>
      </c>
      <c r="T724" s="5">
        <v>475</v>
      </c>
      <c r="U724" s="5">
        <v>645</v>
      </c>
      <c r="V724" s="5">
        <v>0.88</v>
      </c>
      <c r="W724" s="5" t="s">
        <v>99</v>
      </c>
      <c r="X724" s="5">
        <v>40</v>
      </c>
      <c r="Y724" s="5">
        <v>205</v>
      </c>
      <c r="Z724" s="5">
        <v>29.5</v>
      </c>
      <c r="AA724" s="5" t="s">
        <v>68</v>
      </c>
      <c r="AB724" s="5"/>
      <c r="AC724" s="5"/>
      <c r="AD724" s="5"/>
      <c r="AE724" s="5"/>
      <c r="AF724" s="5" t="s">
        <v>68</v>
      </c>
      <c r="AG724" s="5"/>
      <c r="AH724" s="5"/>
      <c r="AI724" s="5"/>
      <c r="AJ724" s="5" t="s">
        <v>68</v>
      </c>
      <c r="AK724" s="5"/>
      <c r="AL724" s="5"/>
      <c r="AM724" s="5"/>
      <c r="AN724" s="5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</row>
    <row r="725" spans="1:240" ht="30" customHeight="1">
      <c r="A725" s="5">
        <v>723</v>
      </c>
      <c r="B725" s="5" t="s">
        <v>68</v>
      </c>
      <c r="C725" s="5"/>
      <c r="D725" s="5"/>
      <c r="E725" s="5">
        <v>4260</v>
      </c>
      <c r="F725" s="5">
        <v>1067</v>
      </c>
      <c r="G725" s="5">
        <v>1150</v>
      </c>
      <c r="H725" s="5">
        <v>247</v>
      </c>
      <c r="I725" s="5" t="s">
        <v>13</v>
      </c>
      <c r="J725" s="24">
        <v>16.386941425331379</v>
      </c>
      <c r="K725" s="30">
        <v>5</v>
      </c>
      <c r="L725" s="5">
        <v>94.5</v>
      </c>
      <c r="M725" s="31">
        <v>10</v>
      </c>
      <c r="N725" s="5" t="s">
        <v>48</v>
      </c>
      <c r="O725" s="5">
        <v>22950</v>
      </c>
      <c r="P725" s="5"/>
      <c r="Q725" s="5"/>
      <c r="R725" s="5">
        <v>3</v>
      </c>
      <c r="S725" s="5">
        <v>710</v>
      </c>
      <c r="T725" s="5">
        <v>475</v>
      </c>
      <c r="U725" s="5">
        <v>645</v>
      </c>
      <c r="V725" s="5">
        <v>1.32</v>
      </c>
      <c r="W725" s="5" t="s">
        <v>99</v>
      </c>
      <c r="X725" s="5">
        <v>42</v>
      </c>
      <c r="Y725" s="5">
        <v>154</v>
      </c>
      <c r="Z725" s="5">
        <v>22</v>
      </c>
      <c r="AA725" s="5" t="s">
        <v>68</v>
      </c>
      <c r="AB725" s="5"/>
      <c r="AC725" s="5"/>
      <c r="AD725" s="5"/>
      <c r="AE725" s="5"/>
      <c r="AF725" s="5" t="s">
        <v>68</v>
      </c>
      <c r="AG725" s="5"/>
      <c r="AH725" s="5"/>
      <c r="AI725" s="5"/>
      <c r="AJ725" s="5" t="s">
        <v>68</v>
      </c>
      <c r="AK725" s="5"/>
      <c r="AL725" s="5"/>
      <c r="AM725" s="5"/>
      <c r="AN725" s="5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</row>
    <row r="726" spans="1:240" ht="30" customHeight="1">
      <c r="A726" s="5">
        <v>724</v>
      </c>
      <c r="B726" s="5" t="s">
        <v>68</v>
      </c>
      <c r="C726" s="5"/>
      <c r="D726" s="5"/>
      <c r="E726" s="5">
        <v>4260</v>
      </c>
      <c r="F726" s="5">
        <v>1067</v>
      </c>
      <c r="G726" s="5">
        <v>1150</v>
      </c>
      <c r="H726" s="5">
        <v>276</v>
      </c>
      <c r="I726" s="5" t="s">
        <v>13</v>
      </c>
      <c r="J726" s="24">
        <v>17.687492332103712</v>
      </c>
      <c r="K726" s="30">
        <v>5</v>
      </c>
      <c r="L726" s="5">
        <v>102</v>
      </c>
      <c r="M726" s="31">
        <v>10</v>
      </c>
      <c r="N726" s="5" t="s">
        <v>48</v>
      </c>
      <c r="O726" s="5">
        <v>21420</v>
      </c>
      <c r="P726" s="5"/>
      <c r="Q726" s="5"/>
      <c r="R726" s="5">
        <v>3</v>
      </c>
      <c r="S726" s="5">
        <v>710</v>
      </c>
      <c r="T726" s="5">
        <v>475</v>
      </c>
      <c r="U726" s="5">
        <v>645</v>
      </c>
      <c r="V726" s="5">
        <v>1.32</v>
      </c>
      <c r="W726" s="5" t="s">
        <v>99</v>
      </c>
      <c r="X726" s="5">
        <v>42</v>
      </c>
      <c r="Y726" s="5">
        <v>230</v>
      </c>
      <c r="Z726" s="5">
        <v>33</v>
      </c>
      <c r="AA726" s="5" t="s">
        <v>68</v>
      </c>
      <c r="AB726" s="5"/>
      <c r="AC726" s="5"/>
      <c r="AD726" s="5"/>
      <c r="AE726" s="5"/>
      <c r="AF726" s="5" t="s">
        <v>68</v>
      </c>
      <c r="AG726" s="5"/>
      <c r="AH726" s="5"/>
      <c r="AI726" s="5"/>
      <c r="AJ726" s="5" t="s">
        <v>68</v>
      </c>
      <c r="AK726" s="5"/>
      <c r="AL726" s="5"/>
      <c r="AM726" s="5"/>
      <c r="AN726" s="5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</row>
    <row r="727" spans="1:240" ht="30" customHeight="1">
      <c r="A727" s="5">
        <v>725</v>
      </c>
      <c r="B727" s="5" t="s">
        <v>68</v>
      </c>
      <c r="C727" s="5"/>
      <c r="D727" s="5"/>
      <c r="E727" s="5">
        <v>4260</v>
      </c>
      <c r="F727" s="5">
        <v>1067</v>
      </c>
      <c r="G727" s="5">
        <v>1150</v>
      </c>
      <c r="H727" s="5">
        <v>304</v>
      </c>
      <c r="I727" s="5" t="s">
        <v>13</v>
      </c>
      <c r="J727" s="24">
        <v>17.860899119673352</v>
      </c>
      <c r="K727" s="30">
        <v>5</v>
      </c>
      <c r="L727" s="5">
        <v>103</v>
      </c>
      <c r="M727" s="31">
        <v>10</v>
      </c>
      <c r="N727" s="5" t="s">
        <v>48</v>
      </c>
      <c r="O727" s="5">
        <v>21420</v>
      </c>
      <c r="P727" s="5"/>
      <c r="Q727" s="5"/>
      <c r="R727" s="5">
        <v>3</v>
      </c>
      <c r="S727" s="5">
        <v>710</v>
      </c>
      <c r="T727" s="5">
        <v>475</v>
      </c>
      <c r="U727" s="5">
        <v>645</v>
      </c>
      <c r="V727" s="5">
        <v>1.32</v>
      </c>
      <c r="W727" s="5" t="s">
        <v>99</v>
      </c>
      <c r="X727" s="5">
        <v>42</v>
      </c>
      <c r="Y727" s="5">
        <v>307</v>
      </c>
      <c r="Z727" s="5">
        <v>44</v>
      </c>
      <c r="AA727" s="5" t="s">
        <v>68</v>
      </c>
      <c r="AB727" s="5"/>
      <c r="AC727" s="5"/>
      <c r="AD727" s="5"/>
      <c r="AE727" s="5"/>
      <c r="AF727" s="5" t="s">
        <v>68</v>
      </c>
      <c r="AG727" s="5"/>
      <c r="AH727" s="5"/>
      <c r="AI727" s="5"/>
      <c r="AJ727" s="5" t="s">
        <v>68</v>
      </c>
      <c r="AK727" s="5"/>
      <c r="AL727" s="5"/>
      <c r="AM727" s="5"/>
      <c r="AN727" s="5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</row>
    <row r="728" spans="1:240" ht="30" customHeight="1">
      <c r="A728" s="5">
        <v>726</v>
      </c>
      <c r="B728" s="5" t="s">
        <v>68</v>
      </c>
      <c r="C728" s="5"/>
      <c r="D728" s="5"/>
      <c r="E728" s="5">
        <v>5560</v>
      </c>
      <c r="F728" s="5">
        <v>1067</v>
      </c>
      <c r="G728" s="5">
        <v>1150</v>
      </c>
      <c r="H728" s="5">
        <v>316</v>
      </c>
      <c r="I728" s="5" t="s">
        <v>13</v>
      </c>
      <c r="J728" s="24">
        <v>21.849255233775171</v>
      </c>
      <c r="K728" s="30">
        <v>5</v>
      </c>
      <c r="L728" s="5">
        <v>126</v>
      </c>
      <c r="M728" s="31">
        <v>10</v>
      </c>
      <c r="N728" s="5" t="s">
        <v>48</v>
      </c>
      <c r="O728" s="5">
        <v>30600</v>
      </c>
      <c r="P728" s="5"/>
      <c r="Q728" s="5"/>
      <c r="R728" s="5">
        <v>4</v>
      </c>
      <c r="S728" s="5">
        <v>710</v>
      </c>
      <c r="T728" s="5">
        <v>475</v>
      </c>
      <c r="U728" s="5">
        <v>645</v>
      </c>
      <c r="V728" s="5">
        <v>1.76</v>
      </c>
      <c r="W728" s="5" t="s">
        <v>99</v>
      </c>
      <c r="X728" s="5">
        <v>43</v>
      </c>
      <c r="Y728" s="5">
        <v>205</v>
      </c>
      <c r="Z728" s="5">
        <v>29.2</v>
      </c>
      <c r="AA728" s="5" t="s">
        <v>68</v>
      </c>
      <c r="AB728" s="5"/>
      <c r="AC728" s="5"/>
      <c r="AD728" s="5"/>
      <c r="AE728" s="5"/>
      <c r="AF728" s="5" t="s">
        <v>68</v>
      </c>
      <c r="AG728" s="5"/>
      <c r="AH728" s="5"/>
      <c r="AI728" s="5"/>
      <c r="AJ728" s="5" t="s">
        <v>68</v>
      </c>
      <c r="AK728" s="5"/>
      <c r="AL728" s="5"/>
      <c r="AM728" s="5"/>
      <c r="AN728" s="5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</row>
    <row r="729" spans="1:240" ht="30" customHeight="1">
      <c r="A729" s="5">
        <v>727</v>
      </c>
      <c r="B729" s="5" t="s">
        <v>68</v>
      </c>
      <c r="C729" s="5"/>
      <c r="D729" s="5"/>
      <c r="E729" s="5">
        <v>5560</v>
      </c>
      <c r="F729" s="5">
        <v>1067</v>
      </c>
      <c r="G729" s="5">
        <v>1150</v>
      </c>
      <c r="H729" s="5">
        <v>358</v>
      </c>
      <c r="I729" s="5" t="s">
        <v>13</v>
      </c>
      <c r="J729" s="24">
        <v>23.58332310947161</v>
      </c>
      <c r="K729" s="30">
        <v>5</v>
      </c>
      <c r="L729" s="5">
        <v>136</v>
      </c>
      <c r="M729" s="31">
        <v>10</v>
      </c>
      <c r="N729" s="5" t="s">
        <v>48</v>
      </c>
      <c r="O729" s="5">
        <v>28560</v>
      </c>
      <c r="P729" s="5"/>
      <c r="Q729" s="5"/>
      <c r="R729" s="5">
        <v>4</v>
      </c>
      <c r="S729" s="5">
        <v>710</v>
      </c>
      <c r="T729" s="5">
        <v>475</v>
      </c>
      <c r="U729" s="5">
        <v>645</v>
      </c>
      <c r="V729" s="15">
        <v>1.76</v>
      </c>
      <c r="W729" s="5" t="s">
        <v>99</v>
      </c>
      <c r="X729" s="5">
        <v>43</v>
      </c>
      <c r="Y729" s="5">
        <v>307</v>
      </c>
      <c r="Z729" s="5">
        <v>43.9</v>
      </c>
      <c r="AA729" s="5" t="s">
        <v>68</v>
      </c>
      <c r="AB729" s="5"/>
      <c r="AC729" s="5"/>
      <c r="AD729" s="5"/>
      <c r="AE729" s="5"/>
      <c r="AF729" s="5" t="s">
        <v>68</v>
      </c>
      <c r="AG729" s="5"/>
      <c r="AH729" s="5"/>
      <c r="AI729" s="5"/>
      <c r="AJ729" s="5" t="s">
        <v>68</v>
      </c>
      <c r="AK729" s="5"/>
      <c r="AL729" s="5"/>
      <c r="AM729" s="5"/>
      <c r="AN729" s="5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</row>
    <row r="730" spans="1:240" ht="30" customHeight="1">
      <c r="A730" s="5">
        <v>728</v>
      </c>
      <c r="B730" s="5" t="s">
        <v>68</v>
      </c>
      <c r="C730" s="5"/>
      <c r="D730" s="5"/>
      <c r="E730" s="5">
        <v>5560</v>
      </c>
      <c r="F730" s="5">
        <v>1067</v>
      </c>
      <c r="G730" s="5">
        <v>1150</v>
      </c>
      <c r="H730" s="5">
        <v>391</v>
      </c>
      <c r="I730" s="5" t="s">
        <v>13</v>
      </c>
      <c r="J730" s="24">
        <v>23.930136684610904</v>
      </c>
      <c r="K730" s="30">
        <v>5</v>
      </c>
      <c r="L730" s="5">
        <v>138</v>
      </c>
      <c r="M730" s="31">
        <v>10</v>
      </c>
      <c r="N730" s="5" t="s">
        <v>48</v>
      </c>
      <c r="O730" s="5">
        <v>28560</v>
      </c>
      <c r="P730" s="5"/>
      <c r="Q730" s="5"/>
      <c r="R730" s="5">
        <v>4</v>
      </c>
      <c r="S730" s="5">
        <v>710</v>
      </c>
      <c r="T730" s="5">
        <v>475</v>
      </c>
      <c r="U730" s="5">
        <v>645</v>
      </c>
      <c r="V730" s="5">
        <v>1.76</v>
      </c>
      <c r="W730" s="5" t="s">
        <v>99</v>
      </c>
      <c r="X730" s="6">
        <v>43</v>
      </c>
      <c r="Y730" s="5">
        <v>410</v>
      </c>
      <c r="Z730" s="5">
        <v>58.5</v>
      </c>
      <c r="AA730" s="5" t="s">
        <v>68</v>
      </c>
      <c r="AB730" s="5"/>
      <c r="AC730" s="5"/>
      <c r="AD730" s="5"/>
      <c r="AE730" s="5"/>
      <c r="AF730" s="5" t="s">
        <v>68</v>
      </c>
      <c r="AG730" s="5"/>
      <c r="AH730" s="5"/>
      <c r="AI730" s="5"/>
      <c r="AJ730" s="5" t="s">
        <v>68</v>
      </c>
      <c r="AK730" s="5"/>
      <c r="AL730" s="5"/>
      <c r="AM730" s="5"/>
      <c r="AN730" s="5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</row>
    <row r="731" spans="1:240" ht="30" customHeight="1">
      <c r="A731" s="5">
        <v>729</v>
      </c>
      <c r="B731" s="5" t="s">
        <v>68</v>
      </c>
      <c r="C731" s="5"/>
      <c r="D731" s="5"/>
      <c r="E731" s="5">
        <v>1865</v>
      </c>
      <c r="F731" s="5">
        <v>1245</v>
      </c>
      <c r="G731" s="5">
        <v>1386</v>
      </c>
      <c r="H731" s="5">
        <v>192</v>
      </c>
      <c r="I731" s="5" t="s">
        <v>13</v>
      </c>
      <c r="J731" s="24">
        <v>9.6240767101152542</v>
      </c>
      <c r="K731" s="30">
        <v>5</v>
      </c>
      <c r="L731" s="5">
        <v>55.5</v>
      </c>
      <c r="M731" s="31">
        <v>10</v>
      </c>
      <c r="N731" s="5" t="s">
        <v>48</v>
      </c>
      <c r="O731" s="5">
        <v>20160</v>
      </c>
      <c r="P731" s="5"/>
      <c r="Q731" s="5"/>
      <c r="R731" s="5">
        <v>1</v>
      </c>
      <c r="S731" s="5">
        <v>800</v>
      </c>
      <c r="T731" s="5">
        <v>685</v>
      </c>
      <c r="U731" s="5">
        <v>895</v>
      </c>
      <c r="V731" s="5">
        <v>2</v>
      </c>
      <c r="W731" s="5" t="s">
        <v>99</v>
      </c>
      <c r="X731" s="5">
        <v>49</v>
      </c>
      <c r="Y731" s="5">
        <v>101</v>
      </c>
      <c r="Z731" s="5">
        <v>12</v>
      </c>
      <c r="AA731" s="5" t="s">
        <v>68</v>
      </c>
      <c r="AB731" s="5"/>
      <c r="AC731" s="5"/>
      <c r="AD731" s="5"/>
      <c r="AE731" s="5"/>
      <c r="AF731" s="5" t="s">
        <v>68</v>
      </c>
      <c r="AG731" s="5"/>
      <c r="AH731" s="5"/>
      <c r="AI731" s="5"/>
      <c r="AJ731" s="5" t="s">
        <v>68</v>
      </c>
      <c r="AK731" s="5"/>
      <c r="AL731" s="5"/>
      <c r="AM731" s="5"/>
      <c r="AN731" s="5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</row>
    <row r="732" spans="1:240" ht="30" customHeight="1">
      <c r="A732" s="5">
        <v>730</v>
      </c>
      <c r="B732" s="5" t="s">
        <v>68</v>
      </c>
      <c r="C732" s="5"/>
      <c r="D732" s="5"/>
      <c r="E732" s="5">
        <v>1865</v>
      </c>
      <c r="F732" s="5">
        <v>1245</v>
      </c>
      <c r="G732" s="5">
        <v>1386</v>
      </c>
      <c r="H732" s="5">
        <v>222</v>
      </c>
      <c r="I732" s="5" t="s">
        <v>13</v>
      </c>
      <c r="J732" s="24">
        <v>12.017090378576343</v>
      </c>
      <c r="K732" s="30">
        <v>5</v>
      </c>
      <c r="L732" s="5">
        <v>69.3</v>
      </c>
      <c r="M732" s="31">
        <v>10</v>
      </c>
      <c r="N732" s="5" t="s">
        <v>48</v>
      </c>
      <c r="O732" s="5">
        <v>19500</v>
      </c>
      <c r="P732" s="5"/>
      <c r="Q732" s="5"/>
      <c r="R732" s="5">
        <v>1</v>
      </c>
      <c r="S732" s="5">
        <v>800</v>
      </c>
      <c r="T732" s="5">
        <v>685</v>
      </c>
      <c r="U732" s="5">
        <v>895</v>
      </c>
      <c r="V732" s="5">
        <v>2</v>
      </c>
      <c r="W732" s="5" t="s">
        <v>99</v>
      </c>
      <c r="X732" s="5">
        <v>49</v>
      </c>
      <c r="Y732" s="5">
        <v>151</v>
      </c>
      <c r="Z732" s="5">
        <v>18</v>
      </c>
      <c r="AA732" s="5" t="s">
        <v>68</v>
      </c>
      <c r="AB732" s="5"/>
      <c r="AC732" s="5"/>
      <c r="AD732" s="5"/>
      <c r="AE732" s="5"/>
      <c r="AF732" s="5" t="s">
        <v>68</v>
      </c>
      <c r="AG732" s="5"/>
      <c r="AH732" s="5"/>
      <c r="AI732" s="5"/>
      <c r="AJ732" s="5" t="s">
        <v>68</v>
      </c>
      <c r="AK732" s="5"/>
      <c r="AL732" s="5"/>
      <c r="AM732" s="5"/>
      <c r="AN732" s="5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</row>
    <row r="733" spans="1:240" ht="30" customHeight="1">
      <c r="A733" s="5">
        <v>731</v>
      </c>
      <c r="B733" s="5" t="s">
        <v>68</v>
      </c>
      <c r="C733" s="5"/>
      <c r="D733" s="5"/>
      <c r="E733" s="5">
        <v>1865</v>
      </c>
      <c r="F733" s="5">
        <v>1245</v>
      </c>
      <c r="G733" s="5">
        <v>1386</v>
      </c>
      <c r="H733" s="5">
        <v>232</v>
      </c>
      <c r="I733" s="5" t="s">
        <v>13</v>
      </c>
      <c r="J733" s="24">
        <v>13.317641285348676</v>
      </c>
      <c r="K733" s="30">
        <v>5</v>
      </c>
      <c r="L733" s="5">
        <v>76.8</v>
      </c>
      <c r="M733" s="31">
        <v>10</v>
      </c>
      <c r="N733" s="5" t="s">
        <v>48</v>
      </c>
      <c r="O733" s="5">
        <v>18660</v>
      </c>
      <c r="P733" s="5"/>
      <c r="Q733" s="5"/>
      <c r="R733" s="5">
        <v>1</v>
      </c>
      <c r="S733" s="5">
        <v>800</v>
      </c>
      <c r="T733" s="5">
        <v>685</v>
      </c>
      <c r="U733" s="5">
        <v>895</v>
      </c>
      <c r="V733" s="5">
        <v>2</v>
      </c>
      <c r="W733" s="5" t="s">
        <v>99</v>
      </c>
      <c r="X733" s="5">
        <v>49</v>
      </c>
      <c r="Y733" s="5">
        <v>201</v>
      </c>
      <c r="Z733" s="5">
        <v>23</v>
      </c>
      <c r="AA733" s="5" t="s">
        <v>68</v>
      </c>
      <c r="AB733" s="5"/>
      <c r="AC733" s="5"/>
      <c r="AD733" s="5"/>
      <c r="AE733" s="5"/>
      <c r="AF733" s="5" t="s">
        <v>68</v>
      </c>
      <c r="AG733" s="5"/>
      <c r="AH733" s="5"/>
      <c r="AI733" s="5"/>
      <c r="AJ733" s="5" t="s">
        <v>68</v>
      </c>
      <c r="AK733" s="5"/>
      <c r="AL733" s="5"/>
      <c r="AM733" s="5"/>
      <c r="AN733" s="5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</row>
    <row r="734" spans="1:240" ht="30" customHeight="1">
      <c r="A734" s="5">
        <v>732</v>
      </c>
      <c r="B734" s="5" t="s">
        <v>68</v>
      </c>
      <c r="C734" s="5"/>
      <c r="D734" s="5"/>
      <c r="E734" s="5">
        <v>1865</v>
      </c>
      <c r="F734" s="5">
        <v>1245</v>
      </c>
      <c r="G734" s="5">
        <v>1386</v>
      </c>
      <c r="H734" s="5">
        <v>242</v>
      </c>
      <c r="I734" s="5" t="s">
        <v>13</v>
      </c>
      <c r="J734" s="24">
        <v>14.028609114384219</v>
      </c>
      <c r="K734" s="30">
        <v>5</v>
      </c>
      <c r="L734" s="5">
        <v>80.900000000000006</v>
      </c>
      <c r="M734" s="31">
        <v>10</v>
      </c>
      <c r="N734" s="5" t="s">
        <v>48</v>
      </c>
      <c r="O734" s="5">
        <v>17980</v>
      </c>
      <c r="P734" s="5"/>
      <c r="Q734" s="5"/>
      <c r="R734" s="5">
        <v>1</v>
      </c>
      <c r="S734" s="5">
        <v>800</v>
      </c>
      <c r="T734" s="5">
        <v>685</v>
      </c>
      <c r="U734" s="5">
        <v>895</v>
      </c>
      <c r="V734" s="5">
        <v>2</v>
      </c>
      <c r="W734" s="5" t="s">
        <v>99</v>
      </c>
      <c r="X734" s="5">
        <v>49</v>
      </c>
      <c r="Y734" s="5">
        <v>251</v>
      </c>
      <c r="Z734" s="5">
        <v>28.75</v>
      </c>
      <c r="AA734" s="5" t="s">
        <v>68</v>
      </c>
      <c r="AB734" s="5"/>
      <c r="AC734" s="5"/>
      <c r="AD734" s="5"/>
      <c r="AE734" s="5"/>
      <c r="AF734" s="5" t="s">
        <v>68</v>
      </c>
      <c r="AG734" s="5"/>
      <c r="AH734" s="5"/>
      <c r="AI734" s="5"/>
      <c r="AJ734" s="5" t="s">
        <v>68</v>
      </c>
      <c r="AK734" s="5"/>
      <c r="AL734" s="5"/>
      <c r="AM734" s="5"/>
      <c r="AN734" s="5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</row>
    <row r="735" spans="1:240" ht="30" customHeight="1">
      <c r="A735" s="5">
        <v>733</v>
      </c>
      <c r="B735" s="5" t="s">
        <v>68</v>
      </c>
      <c r="C735" s="5"/>
      <c r="D735" s="5"/>
      <c r="E735" s="5">
        <v>3340</v>
      </c>
      <c r="F735" s="5">
        <v>1245</v>
      </c>
      <c r="G735" s="5">
        <v>1386</v>
      </c>
      <c r="H735" s="5">
        <v>304</v>
      </c>
      <c r="I735" s="5" t="s">
        <v>13</v>
      </c>
      <c r="J735" s="24">
        <v>19.248153420230508</v>
      </c>
      <c r="K735" s="30">
        <v>5</v>
      </c>
      <c r="L735" s="5">
        <v>111</v>
      </c>
      <c r="M735" s="31">
        <v>10</v>
      </c>
      <c r="N735" s="5" t="s">
        <v>48</v>
      </c>
      <c r="O735" s="5">
        <v>40320</v>
      </c>
      <c r="P735" s="5"/>
      <c r="Q735" s="5"/>
      <c r="R735" s="5">
        <v>2</v>
      </c>
      <c r="S735" s="5">
        <v>800</v>
      </c>
      <c r="T735" s="5">
        <v>685</v>
      </c>
      <c r="U735" s="5">
        <v>895</v>
      </c>
      <c r="V735" s="5">
        <v>4</v>
      </c>
      <c r="W735" s="5" t="s">
        <v>99</v>
      </c>
      <c r="X735" s="5">
        <v>51</v>
      </c>
      <c r="Y735" s="5">
        <v>201</v>
      </c>
      <c r="Z735" s="5">
        <v>24</v>
      </c>
      <c r="AA735" s="5" t="s">
        <v>68</v>
      </c>
      <c r="AB735" s="5"/>
      <c r="AC735" s="5"/>
      <c r="AD735" s="5"/>
      <c r="AE735" s="5"/>
      <c r="AF735" s="5" t="s">
        <v>68</v>
      </c>
      <c r="AG735" s="5"/>
      <c r="AH735" s="5"/>
      <c r="AI735" s="5"/>
      <c r="AJ735" s="5" t="s">
        <v>68</v>
      </c>
      <c r="AK735" s="5"/>
      <c r="AL735" s="5"/>
      <c r="AM735" s="5"/>
      <c r="AN735" s="5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</row>
    <row r="736" spans="1:240" ht="30" customHeight="1">
      <c r="A736" s="5">
        <v>734</v>
      </c>
      <c r="B736" s="5" t="s">
        <v>68</v>
      </c>
      <c r="C736" s="5"/>
      <c r="D736" s="5"/>
      <c r="E736" s="5">
        <v>3340</v>
      </c>
      <c r="F736" s="5">
        <v>1245</v>
      </c>
      <c r="G736" s="5">
        <v>1386</v>
      </c>
      <c r="H736" s="5">
        <v>358</v>
      </c>
      <c r="I736" s="5" t="s">
        <v>13</v>
      </c>
      <c r="J736" s="24">
        <v>24.103543472180547</v>
      </c>
      <c r="K736" s="30">
        <v>5</v>
      </c>
      <c r="L736" s="5">
        <v>139</v>
      </c>
      <c r="M736" s="31">
        <v>10</v>
      </c>
      <c r="N736" s="5" t="s">
        <v>48</v>
      </c>
      <c r="O736" s="5">
        <v>39000</v>
      </c>
      <c r="P736" s="5"/>
      <c r="Q736" s="5"/>
      <c r="R736" s="5">
        <v>2</v>
      </c>
      <c r="S736" s="5">
        <v>800</v>
      </c>
      <c r="T736" s="5">
        <v>685</v>
      </c>
      <c r="U736" s="5">
        <v>895</v>
      </c>
      <c r="V736" s="5">
        <v>4</v>
      </c>
      <c r="W736" s="5" t="s">
        <v>99</v>
      </c>
      <c r="X736" s="5">
        <v>51</v>
      </c>
      <c r="Y736" s="5">
        <v>302</v>
      </c>
      <c r="Z736" s="5">
        <v>36</v>
      </c>
      <c r="AA736" s="5" t="s">
        <v>68</v>
      </c>
      <c r="AB736" s="5"/>
      <c r="AC736" s="5"/>
      <c r="AD736" s="5"/>
      <c r="AE736" s="5"/>
      <c r="AF736" s="5" t="s">
        <v>68</v>
      </c>
      <c r="AG736" s="5"/>
      <c r="AH736" s="5"/>
      <c r="AI736" s="5"/>
      <c r="AJ736" s="5" t="s">
        <v>68</v>
      </c>
      <c r="AK736" s="5"/>
      <c r="AL736" s="5"/>
      <c r="AM736" s="5"/>
      <c r="AN736" s="5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</row>
    <row r="737" spans="1:240" ht="30" customHeight="1">
      <c r="A737" s="5">
        <v>735</v>
      </c>
      <c r="B737" s="5" t="s">
        <v>68</v>
      </c>
      <c r="C737" s="5"/>
      <c r="D737" s="5"/>
      <c r="E737" s="5">
        <v>3340</v>
      </c>
      <c r="F737" s="5">
        <v>1245</v>
      </c>
      <c r="G737" s="5">
        <v>1386</v>
      </c>
      <c r="H737" s="5">
        <v>376</v>
      </c>
      <c r="I737" s="5" t="s">
        <v>13</v>
      </c>
      <c r="J737" s="24">
        <v>26.704645285725206</v>
      </c>
      <c r="K737" s="30">
        <v>5</v>
      </c>
      <c r="L737" s="5">
        <v>154</v>
      </c>
      <c r="M737" s="31">
        <v>10</v>
      </c>
      <c r="N737" s="5" t="s">
        <v>48</v>
      </c>
      <c r="O737" s="5">
        <v>37320</v>
      </c>
      <c r="P737" s="5"/>
      <c r="Q737" s="5"/>
      <c r="R737" s="5">
        <v>2</v>
      </c>
      <c r="S737" s="5">
        <v>800</v>
      </c>
      <c r="T737" s="5">
        <v>685</v>
      </c>
      <c r="U737" s="5">
        <v>895</v>
      </c>
      <c r="V737" s="5">
        <v>4</v>
      </c>
      <c r="W737" s="5" t="s">
        <v>99</v>
      </c>
      <c r="X737" s="5">
        <v>51</v>
      </c>
      <c r="Y737" s="5">
        <v>402</v>
      </c>
      <c r="Z737" s="5">
        <v>46</v>
      </c>
      <c r="AA737" s="5" t="s">
        <v>68</v>
      </c>
      <c r="AB737" s="5"/>
      <c r="AC737" s="5"/>
      <c r="AD737" s="5"/>
      <c r="AE737" s="5"/>
      <c r="AF737" s="5" t="s">
        <v>68</v>
      </c>
      <c r="AG737" s="5"/>
      <c r="AH737" s="5"/>
      <c r="AI737" s="5"/>
      <c r="AJ737" s="5" t="s">
        <v>68</v>
      </c>
      <c r="AK737" s="5"/>
      <c r="AL737" s="5"/>
      <c r="AM737" s="5"/>
      <c r="AN737" s="5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</row>
    <row r="738" spans="1:240" ht="30" customHeight="1">
      <c r="A738" s="5">
        <v>736</v>
      </c>
      <c r="B738" s="5" t="s">
        <v>68</v>
      </c>
      <c r="C738" s="5"/>
      <c r="D738" s="5"/>
      <c r="E738" s="5">
        <v>3340</v>
      </c>
      <c r="F738" s="5">
        <v>1245</v>
      </c>
      <c r="G738" s="5">
        <v>1386</v>
      </c>
      <c r="H738" s="5">
        <v>394</v>
      </c>
      <c r="I738" s="5" t="s">
        <v>13</v>
      </c>
      <c r="J738" s="24">
        <v>28.091899586282363</v>
      </c>
      <c r="K738" s="30">
        <v>5</v>
      </c>
      <c r="L738" s="5">
        <v>162</v>
      </c>
      <c r="M738" s="31">
        <v>10</v>
      </c>
      <c r="N738" s="5" t="s">
        <v>48</v>
      </c>
      <c r="O738" s="5">
        <v>35960</v>
      </c>
      <c r="P738" s="5"/>
      <c r="Q738" s="5"/>
      <c r="R738" s="5">
        <v>2</v>
      </c>
      <c r="S738" s="5">
        <v>800</v>
      </c>
      <c r="T738" s="5">
        <v>685</v>
      </c>
      <c r="U738" s="5">
        <v>895</v>
      </c>
      <c r="V738" s="5">
        <v>4</v>
      </c>
      <c r="W738" s="5" t="s">
        <v>99</v>
      </c>
      <c r="X738" s="5">
        <v>51</v>
      </c>
      <c r="Y738" s="5">
        <v>503</v>
      </c>
      <c r="Z738" s="5">
        <v>57.5</v>
      </c>
      <c r="AA738" s="5" t="s">
        <v>68</v>
      </c>
      <c r="AB738" s="5"/>
      <c r="AC738" s="5"/>
      <c r="AD738" s="5"/>
      <c r="AE738" s="5"/>
      <c r="AF738" s="5" t="s">
        <v>68</v>
      </c>
      <c r="AG738" s="5"/>
      <c r="AH738" s="5"/>
      <c r="AI738" s="5"/>
      <c r="AJ738" s="5" t="s">
        <v>68</v>
      </c>
      <c r="AK738" s="5"/>
      <c r="AL738" s="5"/>
      <c r="AM738" s="5"/>
      <c r="AN738" s="5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</row>
    <row r="739" spans="1:240" ht="30" customHeight="1">
      <c r="A739" s="5">
        <v>737</v>
      </c>
      <c r="B739" s="5" t="s">
        <v>68</v>
      </c>
      <c r="C739" s="5"/>
      <c r="D739" s="5"/>
      <c r="E739" s="5">
        <v>3340</v>
      </c>
      <c r="F739" s="5">
        <v>1245</v>
      </c>
      <c r="G739" s="5">
        <v>1386</v>
      </c>
      <c r="H739" s="5">
        <v>408</v>
      </c>
      <c r="I739" s="5" t="s">
        <v>13</v>
      </c>
      <c r="J739" s="24">
        <v>24.450357047319834</v>
      </c>
      <c r="K739" s="30">
        <v>5</v>
      </c>
      <c r="L739" s="5">
        <v>141</v>
      </c>
      <c r="M739" s="31">
        <v>10</v>
      </c>
      <c r="N739" s="5" t="s">
        <v>48</v>
      </c>
      <c r="O739" s="5">
        <v>44700</v>
      </c>
      <c r="P739" s="5"/>
      <c r="Q739" s="5"/>
      <c r="R739" s="5">
        <v>2</v>
      </c>
      <c r="S739" s="5">
        <v>800</v>
      </c>
      <c r="T739" s="5">
        <v>685</v>
      </c>
      <c r="U739" s="5">
        <v>895</v>
      </c>
      <c r="V739" s="5">
        <v>4</v>
      </c>
      <c r="W739" s="5" t="s">
        <v>99</v>
      </c>
      <c r="X739" s="5">
        <v>51</v>
      </c>
      <c r="Y739" s="5">
        <v>302</v>
      </c>
      <c r="Z739" s="5">
        <v>36</v>
      </c>
      <c r="AA739" s="5" t="s">
        <v>68</v>
      </c>
      <c r="AB739" s="5"/>
      <c r="AC739" s="5"/>
      <c r="AD739" s="5"/>
      <c r="AE739" s="5"/>
      <c r="AF739" s="5" t="s">
        <v>68</v>
      </c>
      <c r="AG739" s="5"/>
      <c r="AH739" s="5"/>
      <c r="AI739" s="5"/>
      <c r="AJ739" s="5" t="s">
        <v>68</v>
      </c>
      <c r="AK739" s="5"/>
      <c r="AL739" s="5"/>
      <c r="AM739" s="5"/>
      <c r="AN739" s="5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</row>
    <row r="740" spans="1:240" ht="30" customHeight="1">
      <c r="A740" s="5">
        <v>738</v>
      </c>
      <c r="B740" s="5" t="s">
        <v>68</v>
      </c>
      <c r="C740" s="5"/>
      <c r="D740" s="5"/>
      <c r="E740" s="5">
        <v>3340</v>
      </c>
      <c r="F740" s="5">
        <v>1245</v>
      </c>
      <c r="G740" s="5">
        <v>1386</v>
      </c>
      <c r="H740" s="5">
        <v>490</v>
      </c>
      <c r="I740" s="5" t="s">
        <v>13</v>
      </c>
      <c r="J740" s="24">
        <v>29.479153886839519</v>
      </c>
      <c r="K740" s="30">
        <v>5</v>
      </c>
      <c r="L740" s="5">
        <v>170</v>
      </c>
      <c r="M740" s="31">
        <v>10</v>
      </c>
      <c r="N740" s="5" t="s">
        <v>48</v>
      </c>
      <c r="O740" s="5">
        <v>43110</v>
      </c>
      <c r="P740" s="5"/>
      <c r="Q740" s="5"/>
      <c r="R740" s="5">
        <v>2</v>
      </c>
      <c r="S740" s="5">
        <v>800</v>
      </c>
      <c r="T740" s="5">
        <v>685</v>
      </c>
      <c r="U740" s="5">
        <v>895</v>
      </c>
      <c r="V740" s="5">
        <v>4</v>
      </c>
      <c r="W740" s="5" t="s">
        <v>99</v>
      </c>
      <c r="X740" s="5">
        <v>51</v>
      </c>
      <c r="Y740" s="5">
        <v>453</v>
      </c>
      <c r="Z740" s="5">
        <v>54</v>
      </c>
      <c r="AA740" s="5" t="s">
        <v>68</v>
      </c>
      <c r="AB740" s="5"/>
      <c r="AC740" s="5"/>
      <c r="AD740" s="5"/>
      <c r="AE740" s="5"/>
      <c r="AF740" s="5" t="s">
        <v>68</v>
      </c>
      <c r="AG740" s="5"/>
      <c r="AH740" s="5"/>
      <c r="AI740" s="5"/>
      <c r="AJ740" s="5" t="s">
        <v>68</v>
      </c>
      <c r="AK740" s="5"/>
      <c r="AL740" s="5"/>
      <c r="AM740" s="5"/>
      <c r="AN740" s="5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</row>
    <row r="741" spans="1:240" ht="30" customHeight="1">
      <c r="A741" s="5">
        <v>739</v>
      </c>
      <c r="B741" s="5" t="s">
        <v>68</v>
      </c>
      <c r="C741" s="5"/>
      <c r="D741" s="5"/>
      <c r="E741" s="5">
        <v>2355</v>
      </c>
      <c r="F741" s="5">
        <v>1620</v>
      </c>
      <c r="G741" s="5">
        <v>1697</v>
      </c>
      <c r="H741" s="5">
        <v>330</v>
      </c>
      <c r="I741" s="5" t="s">
        <v>13</v>
      </c>
      <c r="J741" s="24">
        <v>15.433204093698336</v>
      </c>
      <c r="K741" s="30">
        <v>5</v>
      </c>
      <c r="L741" s="5">
        <v>89</v>
      </c>
      <c r="M741" s="31">
        <v>10</v>
      </c>
      <c r="N741" s="5" t="s">
        <v>48</v>
      </c>
      <c r="O741" s="5">
        <v>30020</v>
      </c>
      <c r="P741" s="5"/>
      <c r="Q741" s="5"/>
      <c r="R741" s="5">
        <v>1</v>
      </c>
      <c r="S741" s="5">
        <v>1000</v>
      </c>
      <c r="T741" s="5">
        <v>530</v>
      </c>
      <c r="U741" s="5">
        <v>670</v>
      </c>
      <c r="V741" s="5">
        <v>2.2000000000000002</v>
      </c>
      <c r="W741" s="5" t="s">
        <v>99</v>
      </c>
      <c r="X741" s="5">
        <v>53</v>
      </c>
      <c r="Y741" s="5">
        <v>176</v>
      </c>
      <c r="Z741" s="5">
        <v>20</v>
      </c>
      <c r="AA741" s="5" t="s">
        <v>68</v>
      </c>
      <c r="AB741" s="5"/>
      <c r="AC741" s="5"/>
      <c r="AD741" s="5"/>
      <c r="AE741" s="5"/>
      <c r="AF741" s="5" t="s">
        <v>68</v>
      </c>
      <c r="AG741" s="5"/>
      <c r="AH741" s="5"/>
      <c r="AI741" s="5"/>
      <c r="AJ741" s="5" t="s">
        <v>68</v>
      </c>
      <c r="AK741" s="5"/>
      <c r="AL741" s="5"/>
      <c r="AM741" s="5"/>
      <c r="AN741" s="5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</row>
    <row r="742" spans="1:240" ht="30" customHeight="1">
      <c r="A742" s="5">
        <v>740</v>
      </c>
      <c r="B742" s="5" t="s">
        <v>68</v>
      </c>
      <c r="C742" s="5"/>
      <c r="D742" s="5"/>
      <c r="E742" s="5">
        <v>2790</v>
      </c>
      <c r="F742" s="5">
        <v>1620</v>
      </c>
      <c r="G742" s="5">
        <v>1697</v>
      </c>
      <c r="H742" s="5">
        <v>350</v>
      </c>
      <c r="I742" s="5" t="s">
        <v>13</v>
      </c>
      <c r="J742" s="24">
        <v>17.132590611880847</v>
      </c>
      <c r="K742" s="30">
        <v>5</v>
      </c>
      <c r="L742" s="5">
        <v>98.8</v>
      </c>
      <c r="M742" s="31">
        <v>10</v>
      </c>
      <c r="N742" s="5" t="s">
        <v>48</v>
      </c>
      <c r="O742" s="5">
        <v>30840</v>
      </c>
      <c r="P742" s="5"/>
      <c r="Q742" s="5"/>
      <c r="R742" s="5">
        <v>1</v>
      </c>
      <c r="S742" s="5">
        <v>1000</v>
      </c>
      <c r="T742" s="5">
        <v>530</v>
      </c>
      <c r="U742" s="5">
        <v>670</v>
      </c>
      <c r="V742" s="5">
        <v>2.2000000000000002</v>
      </c>
      <c r="W742" s="5" t="s">
        <v>99</v>
      </c>
      <c r="X742" s="5">
        <v>53</v>
      </c>
      <c r="Y742" s="5">
        <v>215</v>
      </c>
      <c r="Z742" s="5">
        <v>25</v>
      </c>
      <c r="AA742" s="5" t="s">
        <v>68</v>
      </c>
      <c r="AB742" s="5"/>
      <c r="AC742" s="5"/>
      <c r="AD742" s="5"/>
      <c r="AE742" s="5"/>
      <c r="AF742" s="5" t="s">
        <v>68</v>
      </c>
      <c r="AG742" s="5"/>
      <c r="AH742" s="5"/>
      <c r="AI742" s="5"/>
      <c r="AJ742" s="5" t="s">
        <v>68</v>
      </c>
      <c r="AK742" s="5"/>
      <c r="AL742" s="5"/>
      <c r="AM742" s="5"/>
      <c r="AN742" s="5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</row>
    <row r="743" spans="1:240" ht="30" customHeight="1">
      <c r="A743" s="5">
        <v>741</v>
      </c>
      <c r="B743" s="5" t="s">
        <v>68</v>
      </c>
      <c r="C743" s="5"/>
      <c r="D743" s="5"/>
      <c r="E743" s="5">
        <v>2355</v>
      </c>
      <c r="F743" s="5">
        <v>1620</v>
      </c>
      <c r="G743" s="5">
        <v>1697</v>
      </c>
      <c r="H743" s="5">
        <v>340</v>
      </c>
      <c r="I743" s="5" t="s">
        <v>13</v>
      </c>
      <c r="J743" s="24">
        <v>18.901339845091218</v>
      </c>
      <c r="K743" s="30">
        <v>5</v>
      </c>
      <c r="L743" s="5">
        <v>109</v>
      </c>
      <c r="M743" s="31">
        <v>10</v>
      </c>
      <c r="N743" s="5" t="s">
        <v>48</v>
      </c>
      <c r="O743" s="5">
        <v>28960</v>
      </c>
      <c r="P743" s="5"/>
      <c r="Q743" s="5"/>
      <c r="R743" s="5">
        <v>1</v>
      </c>
      <c r="S743" s="5">
        <v>1000</v>
      </c>
      <c r="T743" s="5">
        <v>530</v>
      </c>
      <c r="U743" s="5">
        <v>670</v>
      </c>
      <c r="V743" s="5">
        <v>2.2000000000000002</v>
      </c>
      <c r="W743" s="5" t="s">
        <v>99</v>
      </c>
      <c r="X743" s="5">
        <v>53</v>
      </c>
      <c r="Y743" s="5">
        <v>264</v>
      </c>
      <c r="Z743" s="5">
        <v>30</v>
      </c>
      <c r="AA743" s="5" t="s">
        <v>68</v>
      </c>
      <c r="AB743" s="5"/>
      <c r="AC743" s="5"/>
      <c r="AD743" s="5"/>
      <c r="AE743" s="5"/>
      <c r="AF743" s="5" t="s">
        <v>68</v>
      </c>
      <c r="AG743" s="5"/>
      <c r="AH743" s="5"/>
      <c r="AI743" s="5"/>
      <c r="AJ743" s="5" t="s">
        <v>68</v>
      </c>
      <c r="AK743" s="5"/>
      <c r="AL743" s="5"/>
      <c r="AM743" s="5"/>
      <c r="AN743" s="5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</row>
    <row r="744" spans="1:240" ht="30" customHeight="1">
      <c r="A744" s="5">
        <v>742</v>
      </c>
      <c r="B744" s="5" t="s">
        <v>68</v>
      </c>
      <c r="C744" s="5"/>
      <c r="D744" s="5"/>
      <c r="E744" s="5">
        <v>2790</v>
      </c>
      <c r="F744" s="5">
        <v>1620</v>
      </c>
      <c r="G744" s="5">
        <v>1697</v>
      </c>
      <c r="H744" s="5">
        <v>380</v>
      </c>
      <c r="I744" s="5" t="s">
        <v>13</v>
      </c>
      <c r="J744" s="24">
        <v>20.808814508357305</v>
      </c>
      <c r="K744" s="30">
        <v>5</v>
      </c>
      <c r="L744" s="5">
        <v>120</v>
      </c>
      <c r="M744" s="31">
        <v>10</v>
      </c>
      <c r="N744" s="5" t="s">
        <v>48</v>
      </c>
      <c r="O744" s="5">
        <v>30260</v>
      </c>
      <c r="P744" s="5"/>
      <c r="Q744" s="5"/>
      <c r="R744" s="5">
        <v>1</v>
      </c>
      <c r="S744" s="5">
        <v>1000</v>
      </c>
      <c r="T744" s="5">
        <v>530</v>
      </c>
      <c r="U744" s="5">
        <v>670</v>
      </c>
      <c r="V744" s="5">
        <v>2.2000000000000002</v>
      </c>
      <c r="W744" s="5" t="s">
        <v>99</v>
      </c>
      <c r="X744" s="5">
        <v>53</v>
      </c>
      <c r="Y744" s="5">
        <v>322</v>
      </c>
      <c r="Z744" s="5">
        <v>37</v>
      </c>
      <c r="AA744" s="5" t="s">
        <v>68</v>
      </c>
      <c r="AB744" s="5"/>
      <c r="AC744" s="5"/>
      <c r="AD744" s="5"/>
      <c r="AE744" s="5"/>
      <c r="AF744" s="5" t="s">
        <v>68</v>
      </c>
      <c r="AG744" s="5"/>
      <c r="AH744" s="5"/>
      <c r="AI744" s="5"/>
      <c r="AJ744" s="5" t="s">
        <v>68</v>
      </c>
      <c r="AK744" s="5"/>
      <c r="AL744" s="5"/>
      <c r="AM744" s="5"/>
      <c r="AN744" s="5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</row>
    <row r="745" spans="1:240" ht="30" customHeight="1">
      <c r="A745" s="5">
        <v>743</v>
      </c>
      <c r="B745" s="5" t="s">
        <v>68</v>
      </c>
      <c r="C745" s="5"/>
      <c r="D745" s="5"/>
      <c r="E745" s="5">
        <v>4320</v>
      </c>
      <c r="F745" s="5">
        <v>1620</v>
      </c>
      <c r="G745" s="5">
        <v>1697</v>
      </c>
      <c r="H745" s="5">
        <v>551</v>
      </c>
      <c r="I745" s="5" t="s">
        <v>13</v>
      </c>
      <c r="J745" s="24">
        <v>30.866408187396672</v>
      </c>
      <c r="K745" s="30">
        <v>5</v>
      </c>
      <c r="L745" s="5">
        <v>178</v>
      </c>
      <c r="M745" s="31">
        <v>10</v>
      </c>
      <c r="N745" s="5" t="s">
        <v>48</v>
      </c>
      <c r="O745" s="5">
        <v>60040</v>
      </c>
      <c r="P745" s="5"/>
      <c r="Q745" s="5"/>
      <c r="R745" s="5">
        <v>2</v>
      </c>
      <c r="S745" s="5">
        <v>1000</v>
      </c>
      <c r="T745" s="5">
        <v>530</v>
      </c>
      <c r="U745" s="5">
        <v>670</v>
      </c>
      <c r="V745" s="5">
        <v>4.4000000000000004</v>
      </c>
      <c r="W745" s="5" t="s">
        <v>99</v>
      </c>
      <c r="X745" s="5">
        <v>56</v>
      </c>
      <c r="Y745" s="5">
        <v>352</v>
      </c>
      <c r="Z745" s="5">
        <v>40</v>
      </c>
      <c r="AA745" s="5" t="s">
        <v>68</v>
      </c>
      <c r="AB745" s="5"/>
      <c r="AC745" s="5"/>
      <c r="AD745" s="5"/>
      <c r="AE745" s="5"/>
      <c r="AF745" s="5" t="s">
        <v>68</v>
      </c>
      <c r="AG745" s="5"/>
      <c r="AH745" s="5"/>
      <c r="AI745" s="5"/>
      <c r="AJ745" s="5" t="s">
        <v>68</v>
      </c>
      <c r="AK745" s="5"/>
      <c r="AL745" s="5"/>
      <c r="AM745" s="5"/>
      <c r="AN745" s="5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</row>
    <row r="746" spans="1:240" ht="30" customHeight="1">
      <c r="A746" s="5">
        <v>744</v>
      </c>
      <c r="B746" s="5" t="s">
        <v>68</v>
      </c>
      <c r="C746" s="5"/>
      <c r="D746" s="5"/>
      <c r="E746" s="5">
        <v>5190</v>
      </c>
      <c r="F746" s="5">
        <v>1620</v>
      </c>
      <c r="G746" s="5">
        <v>1697</v>
      </c>
      <c r="H746" s="5">
        <v>587</v>
      </c>
      <c r="I746" s="5" t="s">
        <v>13</v>
      </c>
      <c r="J746" s="24">
        <v>34.334543938789551</v>
      </c>
      <c r="K746" s="30">
        <v>5</v>
      </c>
      <c r="L746" s="5">
        <v>198</v>
      </c>
      <c r="M746" s="31">
        <v>10</v>
      </c>
      <c r="N746" s="5" t="s">
        <v>48</v>
      </c>
      <c r="O746" s="5">
        <v>61680</v>
      </c>
      <c r="P746" s="5"/>
      <c r="Q746" s="5"/>
      <c r="R746" s="5">
        <v>2</v>
      </c>
      <c r="S746" s="5">
        <v>1000</v>
      </c>
      <c r="T746" s="5">
        <v>530</v>
      </c>
      <c r="U746" s="5">
        <v>670</v>
      </c>
      <c r="V746" s="5">
        <v>4.4000000000000004</v>
      </c>
      <c r="W746" s="5" t="s">
        <v>99</v>
      </c>
      <c r="X746" s="5">
        <v>56</v>
      </c>
      <c r="Y746" s="5">
        <v>430</v>
      </c>
      <c r="Z746" s="5">
        <v>50</v>
      </c>
      <c r="AA746" s="5" t="s">
        <v>68</v>
      </c>
      <c r="AB746" s="5"/>
      <c r="AC746" s="5"/>
      <c r="AD746" s="5"/>
      <c r="AE746" s="5"/>
      <c r="AF746" s="5" t="s">
        <v>68</v>
      </c>
      <c r="AG746" s="5"/>
      <c r="AH746" s="5"/>
      <c r="AI746" s="5"/>
      <c r="AJ746" s="5" t="s">
        <v>68</v>
      </c>
      <c r="AK746" s="5"/>
      <c r="AL746" s="5"/>
      <c r="AM746" s="5"/>
      <c r="AN746" s="5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</row>
    <row r="747" spans="1:240" ht="30" customHeight="1">
      <c r="A747" s="5">
        <v>745</v>
      </c>
      <c r="B747" s="5" t="s">
        <v>68</v>
      </c>
      <c r="C747" s="5"/>
      <c r="D747" s="5"/>
      <c r="E747" s="5">
        <v>4320</v>
      </c>
      <c r="F747" s="5">
        <v>1620</v>
      </c>
      <c r="G747" s="5">
        <v>1697</v>
      </c>
      <c r="H747" s="5">
        <v>569</v>
      </c>
      <c r="I747" s="5" t="s">
        <v>13</v>
      </c>
      <c r="J747" s="24">
        <v>37.802679690182437</v>
      </c>
      <c r="K747" s="30">
        <v>5</v>
      </c>
      <c r="L747" s="5">
        <v>218</v>
      </c>
      <c r="M747" s="31">
        <v>10</v>
      </c>
      <c r="N747" s="5" t="s">
        <v>48</v>
      </c>
      <c r="O747" s="5">
        <v>57920</v>
      </c>
      <c r="P747" s="5"/>
      <c r="Q747" s="5"/>
      <c r="R747" s="5">
        <v>2</v>
      </c>
      <c r="S747" s="5">
        <v>1000</v>
      </c>
      <c r="T747" s="5">
        <v>530</v>
      </c>
      <c r="U747" s="5">
        <v>670</v>
      </c>
      <c r="V747" s="5">
        <v>4.4000000000000004</v>
      </c>
      <c r="W747" s="5" t="s">
        <v>99</v>
      </c>
      <c r="X747" s="5">
        <v>56</v>
      </c>
      <c r="Y747" s="5">
        <v>528</v>
      </c>
      <c r="Z747" s="5">
        <v>60</v>
      </c>
      <c r="AA747" s="5" t="s">
        <v>68</v>
      </c>
      <c r="AB747" s="5"/>
      <c r="AC747" s="5"/>
      <c r="AD747" s="5"/>
      <c r="AE747" s="5"/>
      <c r="AF747" s="5" t="s">
        <v>68</v>
      </c>
      <c r="AG747" s="5"/>
      <c r="AH747" s="5"/>
      <c r="AI747" s="5"/>
      <c r="AJ747" s="5" t="s">
        <v>68</v>
      </c>
      <c r="AK747" s="5"/>
      <c r="AL747" s="5"/>
      <c r="AM747" s="5"/>
      <c r="AN747" s="5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</row>
    <row r="748" spans="1:240" ht="30" customHeight="1">
      <c r="A748" s="5">
        <v>746</v>
      </c>
      <c r="B748" s="5" t="s">
        <v>68</v>
      </c>
      <c r="C748" s="5"/>
      <c r="D748" s="5"/>
      <c r="E748" s="28">
        <v>5190</v>
      </c>
      <c r="F748" s="5">
        <v>1620</v>
      </c>
      <c r="G748" s="5">
        <v>1697</v>
      </c>
      <c r="H748" s="5">
        <v>641</v>
      </c>
      <c r="I748" s="5" t="s">
        <v>13</v>
      </c>
      <c r="J748" s="24">
        <v>41.617629016714609</v>
      </c>
      <c r="K748" s="30">
        <v>5</v>
      </c>
      <c r="L748" s="5">
        <v>240</v>
      </c>
      <c r="M748" s="31">
        <v>10</v>
      </c>
      <c r="N748" s="5" t="s">
        <v>48</v>
      </c>
      <c r="O748" s="5">
        <v>60520</v>
      </c>
      <c r="P748" s="5"/>
      <c r="Q748" s="5"/>
      <c r="R748" s="5">
        <v>2</v>
      </c>
      <c r="S748" s="5">
        <v>1000</v>
      </c>
      <c r="T748" s="5">
        <v>530</v>
      </c>
      <c r="U748" s="5">
        <v>670</v>
      </c>
      <c r="V748" s="5">
        <v>4.4000000000000004</v>
      </c>
      <c r="W748" s="5" t="s">
        <v>99</v>
      </c>
      <c r="X748" s="5">
        <v>56</v>
      </c>
      <c r="Y748" s="5">
        <v>644</v>
      </c>
      <c r="Z748" s="5">
        <v>74</v>
      </c>
      <c r="AA748" s="5" t="s">
        <v>68</v>
      </c>
      <c r="AB748" s="5"/>
      <c r="AC748" s="5"/>
      <c r="AD748" s="5"/>
      <c r="AE748" s="5"/>
      <c r="AF748" s="5" t="s">
        <v>68</v>
      </c>
      <c r="AG748" s="5"/>
      <c r="AH748" s="5"/>
      <c r="AI748" s="5"/>
      <c r="AJ748" s="5" t="s">
        <v>68</v>
      </c>
      <c r="AK748" s="5"/>
      <c r="AL748" s="5"/>
      <c r="AM748" s="5"/>
      <c r="AN748" s="5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</row>
    <row r="749" spans="1:240" ht="30" customHeight="1">
      <c r="A749" s="5">
        <v>747</v>
      </c>
      <c r="B749" s="5" t="s">
        <v>68</v>
      </c>
      <c r="C749" s="5"/>
      <c r="D749" s="5"/>
      <c r="E749" s="5">
        <v>6285</v>
      </c>
      <c r="F749" s="5">
        <v>1620</v>
      </c>
      <c r="G749" s="5">
        <v>1697</v>
      </c>
      <c r="H749" s="5">
        <v>814</v>
      </c>
      <c r="I749" s="5" t="s">
        <v>13</v>
      </c>
      <c r="J749" s="24">
        <v>46.299612281095001</v>
      </c>
      <c r="K749" s="30">
        <v>5</v>
      </c>
      <c r="L749" s="5">
        <v>267</v>
      </c>
      <c r="M749" s="31">
        <v>10</v>
      </c>
      <c r="N749" s="5" t="s">
        <v>48</v>
      </c>
      <c r="O749" s="5">
        <v>90060</v>
      </c>
      <c r="P749" s="5"/>
      <c r="Q749" s="5"/>
      <c r="R749" s="5">
        <v>3</v>
      </c>
      <c r="S749" s="5">
        <v>1000</v>
      </c>
      <c r="T749" s="5">
        <v>530</v>
      </c>
      <c r="U749" s="5">
        <v>670</v>
      </c>
      <c r="V749" s="5">
        <v>6.6</v>
      </c>
      <c r="W749" s="5" t="s">
        <v>99</v>
      </c>
      <c r="X749" s="5">
        <v>57</v>
      </c>
      <c r="Y749" s="5">
        <v>528</v>
      </c>
      <c r="Z749" s="5">
        <v>60</v>
      </c>
      <c r="AA749" s="5" t="s">
        <v>68</v>
      </c>
      <c r="AB749" s="5"/>
      <c r="AC749" s="5"/>
      <c r="AD749" s="5"/>
      <c r="AE749" s="5"/>
      <c r="AF749" s="5" t="s">
        <v>68</v>
      </c>
      <c r="AG749" s="5"/>
      <c r="AH749" s="5"/>
      <c r="AI749" s="5"/>
      <c r="AJ749" s="5" t="s">
        <v>68</v>
      </c>
      <c r="AK749" s="5"/>
      <c r="AL749" s="5"/>
      <c r="AM749" s="5"/>
      <c r="AN749" s="5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</row>
    <row r="750" spans="1:240" ht="30" customHeight="1">
      <c r="A750" s="5">
        <v>748</v>
      </c>
      <c r="B750" s="5" t="s">
        <v>68</v>
      </c>
      <c r="C750" s="5"/>
      <c r="D750" s="5"/>
      <c r="E750" s="5">
        <v>5190</v>
      </c>
      <c r="F750" s="5">
        <v>1620</v>
      </c>
      <c r="G750" s="5">
        <v>1697</v>
      </c>
      <c r="H750" s="5">
        <v>824</v>
      </c>
      <c r="I750" s="5" t="s">
        <v>13</v>
      </c>
      <c r="J750" s="24">
        <v>51.328409120614694</v>
      </c>
      <c r="K750" s="30">
        <v>5</v>
      </c>
      <c r="L750" s="5">
        <v>296</v>
      </c>
      <c r="M750" s="31">
        <v>10</v>
      </c>
      <c r="N750" s="5" t="s">
        <v>48</v>
      </c>
      <c r="O750" s="5">
        <v>92520</v>
      </c>
      <c r="P750" s="5"/>
      <c r="Q750" s="5"/>
      <c r="R750" s="5">
        <v>3</v>
      </c>
      <c r="S750" s="5">
        <v>1000</v>
      </c>
      <c r="T750" s="5">
        <v>530</v>
      </c>
      <c r="U750" s="5">
        <v>670</v>
      </c>
      <c r="V750" s="5">
        <v>6.6</v>
      </c>
      <c r="W750" s="5" t="s">
        <v>99</v>
      </c>
      <c r="X750" s="5">
        <v>57</v>
      </c>
      <c r="Y750" s="5">
        <v>644</v>
      </c>
      <c r="Z750" s="5">
        <v>75</v>
      </c>
      <c r="AA750" s="5" t="s">
        <v>68</v>
      </c>
      <c r="AB750" s="5"/>
      <c r="AC750" s="5"/>
      <c r="AD750" s="5"/>
      <c r="AE750" s="5"/>
      <c r="AF750" s="5" t="s">
        <v>68</v>
      </c>
      <c r="AG750" s="5"/>
      <c r="AH750" s="5"/>
      <c r="AI750" s="5"/>
      <c r="AJ750" s="5" t="s">
        <v>68</v>
      </c>
      <c r="AK750" s="5"/>
      <c r="AL750" s="5"/>
      <c r="AM750" s="5"/>
      <c r="AN750" s="5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</row>
    <row r="751" spans="1:240" ht="30" customHeight="1">
      <c r="A751" s="5">
        <v>749</v>
      </c>
      <c r="B751" s="5" t="s">
        <v>68</v>
      </c>
      <c r="C751" s="5"/>
      <c r="D751" s="5"/>
      <c r="E751" s="5">
        <v>6285</v>
      </c>
      <c r="F751" s="5">
        <v>1620</v>
      </c>
      <c r="G751" s="5">
        <v>1697</v>
      </c>
      <c r="H751" s="5">
        <v>842</v>
      </c>
      <c r="I751" s="5" t="s">
        <v>13</v>
      </c>
      <c r="J751" s="24">
        <v>56.704019535273659</v>
      </c>
      <c r="K751" s="30">
        <v>5</v>
      </c>
      <c r="L751" s="5">
        <v>327</v>
      </c>
      <c r="M751" s="31">
        <v>10</v>
      </c>
      <c r="N751" s="5" t="s">
        <v>48</v>
      </c>
      <c r="O751" s="5">
        <v>86880</v>
      </c>
      <c r="P751" s="5"/>
      <c r="Q751" s="5"/>
      <c r="R751" s="5">
        <v>3</v>
      </c>
      <c r="S751" s="5">
        <v>1000</v>
      </c>
      <c r="T751" s="5">
        <v>530</v>
      </c>
      <c r="U751" s="5">
        <v>670</v>
      </c>
      <c r="V751" s="5">
        <v>6.6</v>
      </c>
      <c r="W751" s="5" t="s">
        <v>99</v>
      </c>
      <c r="X751" s="5">
        <v>57</v>
      </c>
      <c r="Y751" s="5">
        <v>791</v>
      </c>
      <c r="Z751" s="5">
        <v>90</v>
      </c>
      <c r="AA751" s="5" t="s">
        <v>68</v>
      </c>
      <c r="AB751" s="5"/>
      <c r="AC751" s="5"/>
      <c r="AD751" s="5"/>
      <c r="AE751" s="5"/>
      <c r="AF751" s="5" t="s">
        <v>68</v>
      </c>
      <c r="AG751" s="5"/>
      <c r="AH751" s="5"/>
      <c r="AI751" s="5"/>
      <c r="AJ751" s="5" t="s">
        <v>68</v>
      </c>
      <c r="AK751" s="5"/>
      <c r="AL751" s="5"/>
      <c r="AM751" s="5"/>
      <c r="AN751" s="5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</row>
    <row r="752" spans="1:240" ht="30" customHeight="1">
      <c r="A752" s="5">
        <v>750</v>
      </c>
      <c r="B752" s="5" t="s">
        <v>68</v>
      </c>
      <c r="C752" s="5"/>
      <c r="D752" s="5"/>
      <c r="E752" s="5">
        <v>7590</v>
      </c>
      <c r="F752" s="5">
        <v>1620</v>
      </c>
      <c r="G752" s="5">
        <v>1697</v>
      </c>
      <c r="H752" s="5">
        <v>902</v>
      </c>
      <c r="I752" s="5" t="s">
        <v>13</v>
      </c>
      <c r="J752" s="24">
        <v>62.42644352507191</v>
      </c>
      <c r="K752" s="30">
        <v>5</v>
      </c>
      <c r="L752" s="5">
        <v>360</v>
      </c>
      <c r="M752" s="31">
        <v>10</v>
      </c>
      <c r="N752" s="5" t="s">
        <v>48</v>
      </c>
      <c r="O752" s="5">
        <v>90780</v>
      </c>
      <c r="P752" s="5"/>
      <c r="Q752" s="5"/>
      <c r="R752" s="5">
        <v>3</v>
      </c>
      <c r="S752" s="5">
        <v>1000</v>
      </c>
      <c r="T752" s="5">
        <v>530</v>
      </c>
      <c r="U752" s="5">
        <v>670</v>
      </c>
      <c r="V752" s="5">
        <v>6.6</v>
      </c>
      <c r="W752" s="5" t="s">
        <v>99</v>
      </c>
      <c r="X752" s="5">
        <v>57</v>
      </c>
      <c r="Y752" s="5">
        <v>967</v>
      </c>
      <c r="Z752" s="5">
        <v>111</v>
      </c>
      <c r="AA752" s="5" t="s">
        <v>68</v>
      </c>
      <c r="AB752" s="5"/>
      <c r="AC752" s="5"/>
      <c r="AD752" s="5"/>
      <c r="AE752" s="5"/>
      <c r="AF752" s="5" t="s">
        <v>68</v>
      </c>
      <c r="AG752" s="5"/>
      <c r="AH752" s="5"/>
      <c r="AI752" s="5"/>
      <c r="AJ752" s="5" t="s">
        <v>68</v>
      </c>
      <c r="AK752" s="5"/>
      <c r="AL752" s="5"/>
      <c r="AM752" s="5"/>
      <c r="AN752" s="5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</row>
    <row r="753" spans="1:240" ht="30" customHeight="1">
      <c r="A753" s="5">
        <v>751</v>
      </c>
      <c r="B753" s="5" t="s">
        <v>68</v>
      </c>
      <c r="C753" s="5"/>
      <c r="D753" s="5"/>
      <c r="E753" s="5">
        <v>8250</v>
      </c>
      <c r="F753" s="5">
        <v>1620</v>
      </c>
      <c r="G753" s="5">
        <v>1697</v>
      </c>
      <c r="H753" s="5">
        <v>993</v>
      </c>
      <c r="I753" s="5" t="s">
        <v>13</v>
      </c>
      <c r="J753" s="24">
        <v>61.732816374793344</v>
      </c>
      <c r="K753" s="30">
        <v>5</v>
      </c>
      <c r="L753" s="5">
        <v>356</v>
      </c>
      <c r="M753" s="31">
        <v>10</v>
      </c>
      <c r="N753" s="5" t="s">
        <v>48</v>
      </c>
      <c r="O753" s="5">
        <v>120080</v>
      </c>
      <c r="P753" s="5"/>
      <c r="Q753" s="5"/>
      <c r="R753" s="5">
        <v>4</v>
      </c>
      <c r="S753" s="5">
        <v>1000</v>
      </c>
      <c r="T753" s="5">
        <v>530</v>
      </c>
      <c r="U753" s="5">
        <v>670</v>
      </c>
      <c r="V753" s="5">
        <v>8.8000000000000007</v>
      </c>
      <c r="W753" s="5" t="s">
        <v>99</v>
      </c>
      <c r="X753" s="5">
        <v>58</v>
      </c>
      <c r="Y753" s="5">
        <v>704</v>
      </c>
      <c r="Z753" s="5">
        <v>80</v>
      </c>
      <c r="AA753" s="5" t="s">
        <v>68</v>
      </c>
      <c r="AB753" s="5"/>
      <c r="AC753" s="5"/>
      <c r="AD753" s="5"/>
      <c r="AE753" s="5"/>
      <c r="AF753" s="5" t="s">
        <v>68</v>
      </c>
      <c r="AG753" s="5"/>
      <c r="AH753" s="5"/>
      <c r="AI753" s="5"/>
      <c r="AJ753" s="5" t="s">
        <v>68</v>
      </c>
      <c r="AK753" s="5"/>
      <c r="AL753" s="5"/>
      <c r="AM753" s="5"/>
      <c r="AN753" s="5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</row>
    <row r="754" spans="1:240" ht="30" customHeight="1">
      <c r="A754" s="5">
        <v>752</v>
      </c>
      <c r="B754" s="5" t="s">
        <v>68</v>
      </c>
      <c r="C754" s="5"/>
      <c r="D754" s="5"/>
      <c r="E754" s="5">
        <v>9990</v>
      </c>
      <c r="F754" s="5">
        <v>1620</v>
      </c>
      <c r="G754" s="5">
        <v>1697</v>
      </c>
      <c r="H754" s="5">
        <v>1061</v>
      </c>
      <c r="I754" s="5" t="s">
        <v>13</v>
      </c>
      <c r="J754" s="24">
        <v>68.495681090009469</v>
      </c>
      <c r="K754" s="30">
        <v>5</v>
      </c>
      <c r="L754" s="5">
        <v>395</v>
      </c>
      <c r="M754" s="31">
        <v>10</v>
      </c>
      <c r="N754" s="5" t="s">
        <v>48</v>
      </c>
      <c r="O754" s="5">
        <v>123360</v>
      </c>
      <c r="P754" s="5"/>
      <c r="Q754" s="5"/>
      <c r="R754" s="5">
        <v>4</v>
      </c>
      <c r="S754" s="5">
        <v>1000</v>
      </c>
      <c r="T754" s="5">
        <v>530</v>
      </c>
      <c r="U754" s="5">
        <v>670</v>
      </c>
      <c r="V754" s="5">
        <v>8.8000000000000007</v>
      </c>
      <c r="W754" s="5" t="s">
        <v>99</v>
      </c>
      <c r="X754" s="5">
        <v>58</v>
      </c>
      <c r="Y754" s="5">
        <v>859</v>
      </c>
      <c r="Z754" s="5">
        <v>100</v>
      </c>
      <c r="AA754" s="5" t="s">
        <v>68</v>
      </c>
      <c r="AB754" s="5"/>
      <c r="AC754" s="5"/>
      <c r="AD754" s="5"/>
      <c r="AE754" s="5"/>
      <c r="AF754" s="5" t="s">
        <v>68</v>
      </c>
      <c r="AG754" s="5"/>
      <c r="AH754" s="5"/>
      <c r="AI754" s="5"/>
      <c r="AJ754" s="5" t="s">
        <v>68</v>
      </c>
      <c r="AK754" s="5"/>
      <c r="AL754" s="5"/>
      <c r="AM754" s="5"/>
      <c r="AN754" s="5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</row>
    <row r="755" spans="1:240" ht="30" customHeight="1">
      <c r="A755" s="5">
        <v>753</v>
      </c>
      <c r="B755" s="5" t="s">
        <v>68</v>
      </c>
      <c r="C755" s="5"/>
      <c r="D755" s="5"/>
      <c r="E755" s="5">
        <v>8250</v>
      </c>
      <c r="F755" s="5">
        <v>1620</v>
      </c>
      <c r="G755" s="5">
        <v>1697</v>
      </c>
      <c r="H755" s="5">
        <v>1027</v>
      </c>
      <c r="I755" s="5" t="s">
        <v>13</v>
      </c>
      <c r="J755" s="24">
        <v>75.605359380364874</v>
      </c>
      <c r="K755" s="30">
        <v>5</v>
      </c>
      <c r="L755" s="5">
        <v>436</v>
      </c>
      <c r="M755" s="31">
        <v>10</v>
      </c>
      <c r="N755" s="5" t="s">
        <v>48</v>
      </c>
      <c r="O755" s="5">
        <v>115840</v>
      </c>
      <c r="P755" s="5"/>
      <c r="Q755" s="5"/>
      <c r="R755" s="5">
        <v>4</v>
      </c>
      <c r="S755" s="5">
        <v>1000</v>
      </c>
      <c r="T755" s="5">
        <v>530</v>
      </c>
      <c r="U755" s="5">
        <v>670</v>
      </c>
      <c r="V755" s="5">
        <v>8.8000000000000007</v>
      </c>
      <c r="W755" s="5" t="s">
        <v>99</v>
      </c>
      <c r="X755" s="5">
        <v>58</v>
      </c>
      <c r="Y755" s="5">
        <v>1055</v>
      </c>
      <c r="Z755" s="5">
        <v>120</v>
      </c>
      <c r="AA755" s="5" t="s">
        <v>68</v>
      </c>
      <c r="AB755" s="5"/>
      <c r="AC755" s="5"/>
      <c r="AD755" s="5"/>
      <c r="AE755" s="5"/>
      <c r="AF755" s="5" t="s">
        <v>68</v>
      </c>
      <c r="AG755" s="5"/>
      <c r="AH755" s="5"/>
      <c r="AI755" s="5"/>
      <c r="AJ755" s="5" t="s">
        <v>68</v>
      </c>
      <c r="AK755" s="5"/>
      <c r="AL755" s="5"/>
      <c r="AM755" s="5"/>
      <c r="AN755" s="5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</row>
    <row r="756" spans="1:240" ht="30" customHeight="1">
      <c r="A756" s="5">
        <v>754</v>
      </c>
      <c r="B756" s="5" t="s">
        <v>68</v>
      </c>
      <c r="C756" s="5"/>
      <c r="D756" s="5"/>
      <c r="E756" s="5">
        <v>9990</v>
      </c>
      <c r="F756" s="5">
        <v>1620</v>
      </c>
      <c r="G756" s="5">
        <v>1697</v>
      </c>
      <c r="H756" s="5">
        <v>1163</v>
      </c>
      <c r="I756" s="5" t="s">
        <v>13</v>
      </c>
      <c r="J756" s="24">
        <v>83.235258033429218</v>
      </c>
      <c r="K756" s="30">
        <v>5</v>
      </c>
      <c r="L756" s="6">
        <v>480</v>
      </c>
      <c r="M756" s="31">
        <v>10</v>
      </c>
      <c r="N756" s="5" t="s">
        <v>48</v>
      </c>
      <c r="O756" s="5">
        <v>121040</v>
      </c>
      <c r="P756" s="5"/>
      <c r="Q756" s="5"/>
      <c r="R756" s="5">
        <v>4</v>
      </c>
      <c r="S756" s="5">
        <v>1000</v>
      </c>
      <c r="T756" s="5">
        <v>530</v>
      </c>
      <c r="U756" s="5">
        <v>670</v>
      </c>
      <c r="V756" s="5">
        <v>8.8000000000000007</v>
      </c>
      <c r="W756" s="5" t="s">
        <v>99</v>
      </c>
      <c r="X756" s="5">
        <v>58</v>
      </c>
      <c r="Y756" s="5">
        <v>1289</v>
      </c>
      <c r="Z756" s="5">
        <v>148</v>
      </c>
      <c r="AA756" s="5" t="s">
        <v>68</v>
      </c>
      <c r="AB756" s="5"/>
      <c r="AC756" s="5"/>
      <c r="AD756" s="5"/>
      <c r="AE756" s="5"/>
      <c r="AF756" s="5" t="s">
        <v>68</v>
      </c>
      <c r="AG756" s="5"/>
      <c r="AH756" s="5"/>
      <c r="AI756" s="5"/>
      <c r="AJ756" s="5" t="s">
        <v>68</v>
      </c>
      <c r="AK756" s="5"/>
      <c r="AL756" s="5"/>
      <c r="AM756" s="5"/>
      <c r="AN756" s="5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</row>
    <row r="757" spans="1:240" ht="30" customHeight="1">
      <c r="A757" s="5">
        <v>755</v>
      </c>
      <c r="B757" s="5" t="s">
        <v>68</v>
      </c>
      <c r="C757" s="5"/>
      <c r="D757" s="5"/>
      <c r="E757" s="5">
        <v>2520</v>
      </c>
      <c r="F757" s="5">
        <v>2350</v>
      </c>
      <c r="G757" s="5">
        <v>2450</v>
      </c>
      <c r="H757" s="5">
        <v>1040</v>
      </c>
      <c r="I757" s="5" t="s">
        <v>13</v>
      </c>
      <c r="J757" s="24">
        <v>44.738951192968209</v>
      </c>
      <c r="K757" s="30">
        <v>5</v>
      </c>
      <c r="L757" s="5">
        <v>258</v>
      </c>
      <c r="M757" s="31">
        <v>10</v>
      </c>
      <c r="N757" s="5" t="s">
        <v>48</v>
      </c>
      <c r="O757" s="5">
        <v>88100</v>
      </c>
      <c r="P757" s="5"/>
      <c r="Q757" s="5"/>
      <c r="R757" s="5">
        <v>4</v>
      </c>
      <c r="S757" s="5">
        <v>800</v>
      </c>
      <c r="T757" s="5">
        <v>685</v>
      </c>
      <c r="U757" s="5">
        <v>895</v>
      </c>
      <c r="V757" s="5">
        <v>8</v>
      </c>
      <c r="W757" s="5" t="s">
        <v>99</v>
      </c>
      <c r="X757" s="28">
        <v>54</v>
      </c>
      <c r="Y757" s="5">
        <v>506</v>
      </c>
      <c r="Z757" s="5">
        <v>74</v>
      </c>
      <c r="AA757" s="5" t="s">
        <v>68</v>
      </c>
      <c r="AB757" s="5"/>
      <c r="AC757" s="5"/>
      <c r="AD757" s="5"/>
      <c r="AE757" s="5"/>
      <c r="AF757" s="5" t="s">
        <v>68</v>
      </c>
      <c r="AG757" s="5"/>
      <c r="AH757" s="5"/>
      <c r="AI757" s="5"/>
      <c r="AJ757" s="5"/>
      <c r="AK757" s="5"/>
      <c r="AL757" s="5"/>
      <c r="AM757" s="5"/>
      <c r="AN757" s="5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</row>
    <row r="758" spans="1:240" ht="30" customHeight="1">
      <c r="A758" s="5">
        <v>756</v>
      </c>
      <c r="B758" s="5" t="s">
        <v>68</v>
      </c>
      <c r="C758" s="5"/>
      <c r="D758" s="5"/>
      <c r="E758" s="5">
        <v>2520</v>
      </c>
      <c r="F758" s="5">
        <v>2350</v>
      </c>
      <c r="G758" s="5">
        <v>2450</v>
      </c>
      <c r="H758" s="5">
        <v>1170</v>
      </c>
      <c r="I758" s="5" t="s">
        <v>13</v>
      </c>
      <c r="J758" s="24">
        <v>54.102917721729</v>
      </c>
      <c r="K758" s="30">
        <v>5</v>
      </c>
      <c r="L758" s="5">
        <v>312</v>
      </c>
      <c r="M758" s="31">
        <v>10</v>
      </c>
      <c r="N758" s="5" t="s">
        <v>48</v>
      </c>
      <c r="O758" s="5">
        <v>82200</v>
      </c>
      <c r="P758" s="5"/>
      <c r="Q758" s="5"/>
      <c r="R758" s="5">
        <v>4</v>
      </c>
      <c r="S758" s="5">
        <v>800</v>
      </c>
      <c r="T758" s="5">
        <v>685</v>
      </c>
      <c r="U758" s="5">
        <v>895</v>
      </c>
      <c r="V758" s="5">
        <v>8</v>
      </c>
      <c r="W758" s="5" t="s">
        <v>99</v>
      </c>
      <c r="X758" s="5">
        <v>54</v>
      </c>
      <c r="Y758" s="5">
        <v>760</v>
      </c>
      <c r="Z758" s="5">
        <v>102</v>
      </c>
      <c r="AA758" s="5" t="s">
        <v>68</v>
      </c>
      <c r="AB758" s="5"/>
      <c r="AC758" s="5"/>
      <c r="AD758" s="5"/>
      <c r="AE758" s="5"/>
      <c r="AF758" s="5" t="s">
        <v>68</v>
      </c>
      <c r="AG758" s="5"/>
      <c r="AH758" s="5"/>
      <c r="AI758" s="5"/>
      <c r="AJ758" s="5"/>
      <c r="AK758" s="5"/>
      <c r="AL758" s="5"/>
      <c r="AM758" s="5"/>
      <c r="AN758" s="5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</row>
    <row r="759" spans="1:240" ht="30" customHeight="1">
      <c r="A759" s="5">
        <v>757</v>
      </c>
      <c r="B759" s="5" t="s">
        <v>68</v>
      </c>
      <c r="C759" s="5"/>
      <c r="D759" s="5"/>
      <c r="E759" s="5">
        <v>2520</v>
      </c>
      <c r="F759" s="5">
        <v>2350</v>
      </c>
      <c r="G759" s="5">
        <v>2450</v>
      </c>
      <c r="H759" s="5">
        <v>1300</v>
      </c>
      <c r="I759" s="5" t="s">
        <v>13</v>
      </c>
      <c r="J759" s="24">
        <v>58.611494198539752</v>
      </c>
      <c r="K759" s="30">
        <v>5</v>
      </c>
      <c r="L759" s="5">
        <v>338</v>
      </c>
      <c r="M759" s="31">
        <v>10</v>
      </c>
      <c r="N759" s="5" t="s">
        <v>48</v>
      </c>
      <c r="O759" s="5">
        <v>78400</v>
      </c>
      <c r="P759" s="5"/>
      <c r="Q759" s="5"/>
      <c r="R759" s="5">
        <v>4</v>
      </c>
      <c r="S759" s="5">
        <v>800</v>
      </c>
      <c r="T759" s="5">
        <v>685</v>
      </c>
      <c r="U759" s="5">
        <v>895</v>
      </c>
      <c r="V759" s="5">
        <v>8</v>
      </c>
      <c r="W759" s="5" t="s">
        <v>99</v>
      </c>
      <c r="X759" s="5">
        <v>54</v>
      </c>
      <c r="Y759" s="5">
        <v>1013</v>
      </c>
      <c r="Z759" s="5">
        <v>132</v>
      </c>
      <c r="AA759" s="5" t="s">
        <v>68</v>
      </c>
      <c r="AB759" s="5"/>
      <c r="AC759" s="5"/>
      <c r="AD759" s="5"/>
      <c r="AE759" s="5"/>
      <c r="AF759" s="5" t="s">
        <v>68</v>
      </c>
      <c r="AG759" s="5"/>
      <c r="AH759" s="5"/>
      <c r="AI759" s="5"/>
      <c r="AJ759" s="5"/>
      <c r="AK759" s="5"/>
      <c r="AL759" s="5"/>
      <c r="AM759" s="5"/>
      <c r="AN759" s="5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</row>
    <row r="760" spans="1:240" ht="30" customHeight="1">
      <c r="A760" s="5">
        <v>758</v>
      </c>
      <c r="B760" s="5" t="s">
        <v>68</v>
      </c>
      <c r="C760" s="5"/>
      <c r="D760" s="5"/>
      <c r="E760" s="5">
        <v>3620</v>
      </c>
      <c r="F760" s="5">
        <v>2350</v>
      </c>
      <c r="G760" s="5">
        <v>2450</v>
      </c>
      <c r="H760" s="5">
        <v>1470</v>
      </c>
      <c r="I760" s="5" t="s">
        <v>13</v>
      </c>
      <c r="J760" s="24">
        <v>66.935020001882663</v>
      </c>
      <c r="K760" s="30">
        <v>5</v>
      </c>
      <c r="L760" s="5">
        <v>386</v>
      </c>
      <c r="M760" s="31">
        <v>10</v>
      </c>
      <c r="N760" s="5" t="s">
        <v>48</v>
      </c>
      <c r="O760" s="5">
        <v>132200</v>
      </c>
      <c r="P760" s="5"/>
      <c r="Q760" s="5"/>
      <c r="R760" s="5">
        <v>6</v>
      </c>
      <c r="S760" s="5">
        <v>800</v>
      </c>
      <c r="T760" s="5">
        <v>685</v>
      </c>
      <c r="U760" s="5">
        <v>895</v>
      </c>
      <c r="V760" s="5">
        <v>12</v>
      </c>
      <c r="W760" s="5" t="s">
        <v>99</v>
      </c>
      <c r="X760" s="5">
        <v>56</v>
      </c>
      <c r="Y760" s="5">
        <v>759</v>
      </c>
      <c r="Z760" s="5">
        <v>110</v>
      </c>
      <c r="AA760" s="5" t="s">
        <v>68</v>
      </c>
      <c r="AB760" s="5"/>
      <c r="AC760" s="5"/>
      <c r="AD760" s="5"/>
      <c r="AE760" s="5"/>
      <c r="AF760" s="5" t="s">
        <v>68</v>
      </c>
      <c r="AG760" s="5"/>
      <c r="AH760" s="5"/>
      <c r="AI760" s="5"/>
      <c r="AJ760" s="5"/>
      <c r="AK760" s="5"/>
      <c r="AL760" s="5"/>
      <c r="AM760" s="5"/>
      <c r="AN760" s="5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</row>
    <row r="761" spans="1:240" ht="30" customHeight="1">
      <c r="A761" s="5">
        <v>759</v>
      </c>
      <c r="B761" s="5" t="s">
        <v>68</v>
      </c>
      <c r="C761" s="5"/>
      <c r="D761" s="5"/>
      <c r="E761" s="5">
        <v>3620</v>
      </c>
      <c r="F761" s="5">
        <v>2350</v>
      </c>
      <c r="G761" s="5">
        <v>2450</v>
      </c>
      <c r="H761" s="5">
        <v>1660</v>
      </c>
      <c r="I761" s="5" t="s">
        <v>13</v>
      </c>
      <c r="J761" s="24">
        <v>80.980969795023853</v>
      </c>
      <c r="K761" s="30">
        <v>5</v>
      </c>
      <c r="L761" s="5">
        <v>467</v>
      </c>
      <c r="M761" s="31">
        <v>10</v>
      </c>
      <c r="N761" s="5" t="s">
        <v>48</v>
      </c>
      <c r="O761" s="5">
        <v>123300</v>
      </c>
      <c r="P761" s="5"/>
      <c r="Q761" s="5"/>
      <c r="R761" s="5">
        <v>6</v>
      </c>
      <c r="S761" s="5">
        <v>800</v>
      </c>
      <c r="T761" s="5">
        <v>685</v>
      </c>
      <c r="U761" s="5">
        <v>895</v>
      </c>
      <c r="V761" s="5">
        <v>12</v>
      </c>
      <c r="W761" s="5" t="s">
        <v>99</v>
      </c>
      <c r="X761" s="5">
        <v>56</v>
      </c>
      <c r="Y761" s="5">
        <v>1139</v>
      </c>
      <c r="Z761" s="5">
        <v>154</v>
      </c>
      <c r="AA761" s="5" t="s">
        <v>68</v>
      </c>
      <c r="AB761" s="5"/>
      <c r="AC761" s="5"/>
      <c r="AD761" s="5"/>
      <c r="AE761" s="5"/>
      <c r="AF761" s="5" t="s">
        <v>68</v>
      </c>
      <c r="AG761" s="5"/>
      <c r="AH761" s="5"/>
      <c r="AI761" s="5"/>
      <c r="AJ761" s="5"/>
      <c r="AK761" s="5"/>
      <c r="AL761" s="5"/>
      <c r="AM761" s="5"/>
      <c r="AN761" s="5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</row>
    <row r="762" spans="1:240" ht="30" customHeight="1">
      <c r="A762" s="5">
        <v>760</v>
      </c>
      <c r="B762" s="5" t="s">
        <v>68</v>
      </c>
      <c r="C762" s="5"/>
      <c r="D762" s="5"/>
      <c r="E762" s="5">
        <v>3620</v>
      </c>
      <c r="F762" s="5">
        <v>2350</v>
      </c>
      <c r="G762" s="5">
        <v>2450</v>
      </c>
      <c r="H762" s="5">
        <v>1850</v>
      </c>
      <c r="I762" s="5" t="s">
        <v>13</v>
      </c>
      <c r="J762" s="24">
        <v>87.917241297809625</v>
      </c>
      <c r="K762" s="30">
        <v>5</v>
      </c>
      <c r="L762" s="5">
        <v>507</v>
      </c>
      <c r="M762" s="31">
        <v>10</v>
      </c>
      <c r="N762" s="5" t="s">
        <v>48</v>
      </c>
      <c r="O762" s="5">
        <v>117600</v>
      </c>
      <c r="P762" s="5"/>
      <c r="Q762" s="5"/>
      <c r="R762" s="5">
        <v>6</v>
      </c>
      <c r="S762" s="5">
        <v>800</v>
      </c>
      <c r="T762" s="5">
        <v>685</v>
      </c>
      <c r="U762" s="5">
        <v>895</v>
      </c>
      <c r="V762" s="5">
        <v>12</v>
      </c>
      <c r="W762" s="5" t="s">
        <v>99</v>
      </c>
      <c r="X762" s="5">
        <v>56</v>
      </c>
      <c r="Y762" s="5">
        <v>1519</v>
      </c>
      <c r="Z762" s="5">
        <v>198</v>
      </c>
      <c r="AA762" s="5" t="s">
        <v>68</v>
      </c>
      <c r="AB762" s="5"/>
      <c r="AC762" s="5"/>
      <c r="AD762" s="5"/>
      <c r="AE762" s="5"/>
      <c r="AF762" s="5" t="s">
        <v>68</v>
      </c>
      <c r="AG762" s="5"/>
      <c r="AH762" s="5"/>
      <c r="AI762" s="5"/>
      <c r="AJ762" s="5"/>
      <c r="AK762" s="5"/>
      <c r="AL762" s="5"/>
      <c r="AM762" s="5"/>
      <c r="AN762" s="5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</row>
    <row r="763" spans="1:240" ht="30" customHeight="1">
      <c r="A763" s="5">
        <v>761</v>
      </c>
      <c r="B763" s="5" t="s">
        <v>68</v>
      </c>
      <c r="C763" s="5"/>
      <c r="D763" s="5"/>
      <c r="E763" s="5">
        <v>4720</v>
      </c>
      <c r="F763" s="5">
        <v>2350</v>
      </c>
      <c r="G763" s="5">
        <v>2450</v>
      </c>
      <c r="H763" s="5">
        <v>1910</v>
      </c>
      <c r="I763" s="5" t="s">
        <v>13</v>
      </c>
      <c r="J763" s="24">
        <v>89.824715961075697</v>
      </c>
      <c r="K763" s="30">
        <v>5</v>
      </c>
      <c r="L763" s="5">
        <v>518</v>
      </c>
      <c r="M763" s="31">
        <v>10</v>
      </c>
      <c r="N763" s="5" t="s">
        <v>48</v>
      </c>
      <c r="O763" s="5">
        <v>176300</v>
      </c>
      <c r="P763" s="5"/>
      <c r="Q763" s="5"/>
      <c r="R763" s="5">
        <v>8</v>
      </c>
      <c r="S763" s="5">
        <v>800</v>
      </c>
      <c r="T763" s="5">
        <v>685</v>
      </c>
      <c r="U763" s="5">
        <v>895</v>
      </c>
      <c r="V763" s="5">
        <v>16</v>
      </c>
      <c r="W763" s="5" t="s">
        <v>99</v>
      </c>
      <c r="X763" s="5">
        <v>57</v>
      </c>
      <c r="Y763" s="5">
        <v>1012</v>
      </c>
      <c r="Z763" s="5">
        <v>148</v>
      </c>
      <c r="AA763" s="5" t="s">
        <v>68</v>
      </c>
      <c r="AB763" s="5"/>
      <c r="AC763" s="5"/>
      <c r="AD763" s="5"/>
      <c r="AE763" s="5"/>
      <c r="AF763" s="5" t="s">
        <v>68</v>
      </c>
      <c r="AG763" s="5"/>
      <c r="AH763" s="5"/>
      <c r="AI763" s="5"/>
      <c r="AJ763" s="5"/>
      <c r="AK763" s="5"/>
      <c r="AL763" s="5"/>
      <c r="AM763" s="5"/>
      <c r="AN763" s="5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</row>
    <row r="764" spans="1:240" ht="30" customHeight="1">
      <c r="A764" s="5">
        <v>762</v>
      </c>
      <c r="B764" s="5" t="s">
        <v>68</v>
      </c>
      <c r="C764" s="5"/>
      <c r="D764" s="5"/>
      <c r="E764" s="5">
        <v>4720</v>
      </c>
      <c r="F764" s="5">
        <v>2350</v>
      </c>
      <c r="G764" s="5">
        <v>2450</v>
      </c>
      <c r="H764" s="5">
        <v>2140</v>
      </c>
      <c r="I764" s="5" t="s">
        <v>13</v>
      </c>
      <c r="J764" s="24">
        <v>108.03242865588834</v>
      </c>
      <c r="K764" s="30">
        <v>5</v>
      </c>
      <c r="L764" s="5">
        <v>623</v>
      </c>
      <c r="M764" s="31">
        <v>10</v>
      </c>
      <c r="N764" s="5" t="s">
        <v>48</v>
      </c>
      <c r="O764" s="5">
        <v>164400</v>
      </c>
      <c r="P764" s="5"/>
      <c r="Q764" s="5"/>
      <c r="R764" s="5">
        <v>8</v>
      </c>
      <c r="S764" s="5">
        <v>800</v>
      </c>
      <c r="T764" s="5">
        <v>685</v>
      </c>
      <c r="U764" s="5">
        <v>895</v>
      </c>
      <c r="V764" s="5">
        <v>16</v>
      </c>
      <c r="W764" s="5" t="s">
        <v>99</v>
      </c>
      <c r="X764" s="5">
        <v>57</v>
      </c>
      <c r="Y764" s="5">
        <v>1519</v>
      </c>
      <c r="Z764" s="5">
        <v>198</v>
      </c>
      <c r="AA764" s="5" t="s">
        <v>68</v>
      </c>
      <c r="AB764" s="5"/>
      <c r="AC764" s="5"/>
      <c r="AD764" s="5"/>
      <c r="AE764" s="5"/>
      <c r="AF764" s="5" t="s">
        <v>68</v>
      </c>
      <c r="AG764" s="5"/>
      <c r="AH764" s="5"/>
      <c r="AI764" s="5"/>
      <c r="AJ764" s="5"/>
      <c r="AK764" s="5"/>
      <c r="AL764" s="5"/>
      <c r="AM764" s="5"/>
      <c r="AN764" s="5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</row>
    <row r="765" spans="1:240" ht="30" customHeight="1">
      <c r="A765" s="5">
        <v>763</v>
      </c>
      <c r="B765" s="5" t="s">
        <v>68</v>
      </c>
      <c r="C765" s="5"/>
      <c r="D765" s="5"/>
      <c r="E765" s="5">
        <v>4720</v>
      </c>
      <c r="F765" s="5">
        <v>2350</v>
      </c>
      <c r="G765" s="5">
        <v>2450</v>
      </c>
      <c r="H765" s="5">
        <v>2370</v>
      </c>
      <c r="I765" s="5" t="s">
        <v>13</v>
      </c>
      <c r="J765" s="24">
        <v>117.2229883970795</v>
      </c>
      <c r="K765" s="30">
        <v>5</v>
      </c>
      <c r="L765" s="5">
        <v>676</v>
      </c>
      <c r="M765" s="31">
        <v>10</v>
      </c>
      <c r="N765" s="5" t="s">
        <v>48</v>
      </c>
      <c r="O765" s="5">
        <v>156800</v>
      </c>
      <c r="P765" s="5"/>
      <c r="Q765" s="5"/>
      <c r="R765" s="5">
        <v>8</v>
      </c>
      <c r="S765" s="5">
        <v>800</v>
      </c>
      <c r="T765" s="5">
        <v>685</v>
      </c>
      <c r="U765" s="5">
        <v>895</v>
      </c>
      <c r="V765" s="5">
        <v>16</v>
      </c>
      <c r="W765" s="5" t="s">
        <v>99</v>
      </c>
      <c r="X765" s="5">
        <v>57</v>
      </c>
      <c r="Y765" s="5">
        <v>2026</v>
      </c>
      <c r="Z765" s="5">
        <v>254</v>
      </c>
      <c r="AA765" s="5" t="s">
        <v>68</v>
      </c>
      <c r="AB765" s="5"/>
      <c r="AC765" s="5"/>
      <c r="AD765" s="5"/>
      <c r="AE765" s="5"/>
      <c r="AF765" s="5" t="s">
        <v>68</v>
      </c>
      <c r="AG765" s="5"/>
      <c r="AH765" s="5"/>
      <c r="AI765" s="5"/>
      <c r="AJ765" s="5"/>
      <c r="AK765" s="5"/>
      <c r="AL765" s="5"/>
      <c r="AM765" s="5"/>
      <c r="AN765" s="5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</row>
    <row r="766" spans="1:240" ht="30" customHeight="1">
      <c r="A766" s="5">
        <v>764</v>
      </c>
      <c r="B766" s="5" t="s">
        <v>68</v>
      </c>
      <c r="C766" s="5"/>
      <c r="D766" s="5"/>
      <c r="E766" s="5">
        <v>5820</v>
      </c>
      <c r="F766" s="5">
        <v>2350</v>
      </c>
      <c r="G766" s="5">
        <v>2450</v>
      </c>
      <c r="H766" s="5">
        <v>2330</v>
      </c>
      <c r="I766" s="5" t="s">
        <v>13</v>
      </c>
      <c r="J766" s="24">
        <v>111.67397119485088</v>
      </c>
      <c r="K766" s="30">
        <v>5</v>
      </c>
      <c r="L766" s="5">
        <v>644</v>
      </c>
      <c r="M766" s="31">
        <v>10</v>
      </c>
      <c r="N766" s="5" t="s">
        <v>48</v>
      </c>
      <c r="O766" s="5">
        <v>220300</v>
      </c>
      <c r="P766" s="5"/>
      <c r="Q766" s="5"/>
      <c r="R766" s="5">
        <v>10</v>
      </c>
      <c r="S766" s="5">
        <v>800</v>
      </c>
      <c r="T766" s="5">
        <v>685</v>
      </c>
      <c r="U766" s="5">
        <v>895</v>
      </c>
      <c r="V766" s="5">
        <v>20</v>
      </c>
      <c r="W766" s="5" t="s">
        <v>99</v>
      </c>
      <c r="X766" s="5">
        <v>58</v>
      </c>
      <c r="Y766" s="5">
        <v>1265</v>
      </c>
      <c r="Z766" s="5">
        <v>186</v>
      </c>
      <c r="AA766" s="5" t="s">
        <v>68</v>
      </c>
      <c r="AB766" s="5"/>
      <c r="AC766" s="5"/>
      <c r="AD766" s="5"/>
      <c r="AE766" s="5"/>
      <c r="AF766" s="5" t="s">
        <v>68</v>
      </c>
      <c r="AG766" s="5"/>
      <c r="AH766" s="5"/>
      <c r="AI766" s="5"/>
      <c r="AJ766" s="5"/>
      <c r="AK766" s="5"/>
      <c r="AL766" s="5"/>
      <c r="AM766" s="5"/>
      <c r="AN766" s="5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</row>
    <row r="767" spans="1:240" ht="30" customHeight="1">
      <c r="A767" s="5">
        <v>765</v>
      </c>
      <c r="B767" s="5" t="s">
        <v>68</v>
      </c>
      <c r="C767" s="5"/>
      <c r="D767" s="5"/>
      <c r="E767" s="5">
        <v>5820</v>
      </c>
      <c r="F767" s="5">
        <v>2350</v>
      </c>
      <c r="G767" s="5">
        <v>2450</v>
      </c>
      <c r="H767" s="5">
        <v>2610</v>
      </c>
      <c r="I767" s="5" t="s">
        <v>13</v>
      </c>
      <c r="J767" s="24">
        <v>135.08388751675284</v>
      </c>
      <c r="K767" s="30">
        <v>5</v>
      </c>
      <c r="L767" s="5">
        <v>779</v>
      </c>
      <c r="M767" s="31">
        <v>10</v>
      </c>
      <c r="N767" s="5" t="s">
        <v>48</v>
      </c>
      <c r="O767" s="5">
        <v>205500</v>
      </c>
      <c r="P767" s="5"/>
      <c r="Q767" s="5"/>
      <c r="R767" s="5">
        <v>10</v>
      </c>
      <c r="S767" s="5">
        <v>800</v>
      </c>
      <c r="T767" s="5">
        <v>685</v>
      </c>
      <c r="U767" s="5">
        <v>895</v>
      </c>
      <c r="V767" s="5">
        <v>20</v>
      </c>
      <c r="W767" s="5" t="s">
        <v>99</v>
      </c>
      <c r="X767" s="5">
        <v>58</v>
      </c>
      <c r="Y767" s="5">
        <v>1899</v>
      </c>
      <c r="Z767" s="5">
        <v>264</v>
      </c>
      <c r="AA767" s="5" t="s">
        <v>68</v>
      </c>
      <c r="AB767" s="5"/>
      <c r="AC767" s="5"/>
      <c r="AD767" s="5"/>
      <c r="AE767" s="5"/>
      <c r="AF767" s="5" t="s">
        <v>68</v>
      </c>
      <c r="AG767" s="5"/>
      <c r="AH767" s="5"/>
      <c r="AI767" s="5"/>
      <c r="AJ767" s="5"/>
      <c r="AK767" s="5"/>
      <c r="AL767" s="5"/>
      <c r="AM767" s="5"/>
      <c r="AN767" s="5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</row>
    <row r="768" spans="1:240" ht="30" customHeight="1">
      <c r="A768" s="5">
        <v>766</v>
      </c>
      <c r="B768" s="5" t="s">
        <v>68</v>
      </c>
      <c r="C768" s="5"/>
      <c r="D768" s="5"/>
      <c r="E768" s="5">
        <v>2270</v>
      </c>
      <c r="F768" s="5">
        <v>2160</v>
      </c>
      <c r="G768" s="5">
        <v>2150</v>
      </c>
      <c r="H768" s="5">
        <v>740</v>
      </c>
      <c r="I768" s="5" t="s">
        <v>17</v>
      </c>
      <c r="J768" s="5">
        <v>44</v>
      </c>
      <c r="K768" s="30">
        <v>5</v>
      </c>
      <c r="L768" s="5">
        <v>232</v>
      </c>
      <c r="M768" s="31">
        <v>10</v>
      </c>
      <c r="N768" s="5">
        <v>53</v>
      </c>
      <c r="O768" s="5">
        <v>77100</v>
      </c>
      <c r="P768" s="5"/>
      <c r="Q768" s="5">
        <v>2</v>
      </c>
      <c r="R768" s="5">
        <v>4</v>
      </c>
      <c r="S768" s="5">
        <v>800</v>
      </c>
      <c r="T768" s="5" t="s">
        <v>48</v>
      </c>
      <c r="U768" s="5">
        <v>910</v>
      </c>
      <c r="V768" s="5">
        <v>7.2</v>
      </c>
      <c r="W768" s="5" t="s">
        <v>84</v>
      </c>
      <c r="X768" s="5">
        <v>54</v>
      </c>
      <c r="Y768" s="5">
        <v>484</v>
      </c>
      <c r="Z768" s="5">
        <v>84</v>
      </c>
      <c r="AA768" s="5" t="s">
        <v>68</v>
      </c>
      <c r="AB768" s="5"/>
      <c r="AC768" s="5"/>
      <c r="AD768" s="5"/>
      <c r="AE768" s="5"/>
      <c r="AF768" s="5" t="s">
        <v>68</v>
      </c>
      <c r="AG768" s="5"/>
      <c r="AH768" s="5"/>
      <c r="AI768" s="5"/>
      <c r="AJ768" s="5"/>
      <c r="AK768" s="5"/>
      <c r="AL768" s="5"/>
      <c r="AM768" s="5"/>
      <c r="AN768" s="5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</row>
    <row r="769" spans="1:240" ht="30" customHeight="1">
      <c r="A769" s="5">
        <v>767</v>
      </c>
      <c r="B769" s="5" t="s">
        <v>68</v>
      </c>
      <c r="C769" s="5"/>
      <c r="D769" s="5"/>
      <c r="E769" s="5">
        <v>2270</v>
      </c>
      <c r="F769" s="5">
        <v>2160</v>
      </c>
      <c r="G769" s="5">
        <v>2150</v>
      </c>
      <c r="H769" s="5">
        <v>800</v>
      </c>
      <c r="I769" s="5" t="s">
        <v>17</v>
      </c>
      <c r="J769" s="5">
        <v>48</v>
      </c>
      <c r="K769" s="30">
        <v>5</v>
      </c>
      <c r="L769" s="5">
        <v>254</v>
      </c>
      <c r="M769" s="31">
        <v>10</v>
      </c>
      <c r="N769" s="5">
        <v>58</v>
      </c>
      <c r="O769" s="5">
        <v>70400</v>
      </c>
      <c r="P769" s="5"/>
      <c r="Q769" s="5">
        <v>2</v>
      </c>
      <c r="R769" s="5">
        <v>4</v>
      </c>
      <c r="S769" s="5">
        <v>800</v>
      </c>
      <c r="T769" s="5" t="s">
        <v>48</v>
      </c>
      <c r="U769" s="5">
        <v>910</v>
      </c>
      <c r="V769" s="5">
        <v>7.2</v>
      </c>
      <c r="W769" s="5" t="s">
        <v>84</v>
      </c>
      <c r="X769" s="5">
        <v>54</v>
      </c>
      <c r="Y769" s="5">
        <v>646</v>
      </c>
      <c r="Z769" s="5">
        <v>112</v>
      </c>
      <c r="AA769" s="5" t="s">
        <v>68</v>
      </c>
      <c r="AB769" s="5"/>
      <c r="AC769" s="5"/>
      <c r="AD769" s="5"/>
      <c r="AE769" s="5"/>
      <c r="AF769" s="5" t="s">
        <v>68</v>
      </c>
      <c r="AG769" s="5"/>
      <c r="AH769" s="5"/>
      <c r="AI769" s="5"/>
      <c r="AJ769" s="5"/>
      <c r="AK769" s="5"/>
      <c r="AL769" s="5"/>
      <c r="AM769" s="5"/>
      <c r="AN769" s="5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</row>
    <row r="770" spans="1:240" ht="30" customHeight="1">
      <c r="A770" s="5">
        <v>768</v>
      </c>
      <c r="B770" s="5" t="s">
        <v>68</v>
      </c>
      <c r="C770" s="5"/>
      <c r="D770" s="5"/>
      <c r="E770" s="5">
        <v>3240</v>
      </c>
      <c r="F770" s="5">
        <v>2160</v>
      </c>
      <c r="G770" s="5">
        <v>2150</v>
      </c>
      <c r="H770" s="5">
        <v>1110</v>
      </c>
      <c r="I770" s="5" t="s">
        <v>17</v>
      </c>
      <c r="J770" s="5">
        <v>65</v>
      </c>
      <c r="K770" s="30">
        <v>5</v>
      </c>
      <c r="L770" s="5">
        <v>349</v>
      </c>
      <c r="M770" s="31">
        <v>10</v>
      </c>
      <c r="N770" s="5">
        <v>57</v>
      </c>
      <c r="O770" s="5">
        <v>115700</v>
      </c>
      <c r="P770" s="5"/>
      <c r="Q770" s="5">
        <v>2</v>
      </c>
      <c r="R770" s="5">
        <v>6</v>
      </c>
      <c r="S770" s="5">
        <v>800</v>
      </c>
      <c r="T770" s="5" t="s">
        <v>48</v>
      </c>
      <c r="U770" s="5">
        <v>910</v>
      </c>
      <c r="V770" s="5">
        <v>10.8</v>
      </c>
      <c r="W770" s="5" t="s">
        <v>84</v>
      </c>
      <c r="X770" s="5">
        <v>56</v>
      </c>
      <c r="Y770" s="5">
        <v>726</v>
      </c>
      <c r="Z770" s="5">
        <v>124</v>
      </c>
      <c r="AA770" s="5" t="s">
        <v>68</v>
      </c>
      <c r="AB770" s="5"/>
      <c r="AC770" s="5"/>
      <c r="AD770" s="5"/>
      <c r="AE770" s="5"/>
      <c r="AF770" s="5" t="s">
        <v>68</v>
      </c>
      <c r="AG770" s="5"/>
      <c r="AH770" s="5"/>
      <c r="AI770" s="5"/>
      <c r="AJ770" s="5"/>
      <c r="AK770" s="5"/>
      <c r="AL770" s="5"/>
      <c r="AM770" s="5"/>
      <c r="AN770" s="5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</row>
    <row r="771" spans="1:240" ht="30" customHeight="1">
      <c r="A771" s="5">
        <v>769</v>
      </c>
      <c r="B771" s="5" t="s">
        <v>68</v>
      </c>
      <c r="C771" s="5"/>
      <c r="D771" s="5"/>
      <c r="E771" s="5">
        <v>3240</v>
      </c>
      <c r="F771" s="5">
        <v>2160</v>
      </c>
      <c r="G771" s="5">
        <v>2150</v>
      </c>
      <c r="H771" s="5">
        <v>1200</v>
      </c>
      <c r="I771" s="5" t="s">
        <v>17</v>
      </c>
      <c r="J771" s="5">
        <v>71</v>
      </c>
      <c r="K771" s="30">
        <v>5</v>
      </c>
      <c r="L771" s="5">
        <v>381</v>
      </c>
      <c r="M771" s="31">
        <v>10</v>
      </c>
      <c r="N771" s="5">
        <v>55</v>
      </c>
      <c r="O771" s="5">
        <v>105500</v>
      </c>
      <c r="P771" s="5"/>
      <c r="Q771" s="5">
        <v>2</v>
      </c>
      <c r="R771" s="5">
        <v>6</v>
      </c>
      <c r="S771" s="5">
        <v>800</v>
      </c>
      <c r="T771" s="5" t="s">
        <v>48</v>
      </c>
      <c r="U771" s="5">
        <v>910</v>
      </c>
      <c r="V771" s="5">
        <v>10.8</v>
      </c>
      <c r="W771" s="5" t="s">
        <v>84</v>
      </c>
      <c r="X771" s="5">
        <v>56</v>
      </c>
      <c r="Y771" s="5">
        <v>970</v>
      </c>
      <c r="Z771" s="5">
        <v>166</v>
      </c>
      <c r="AA771" s="5" t="s">
        <v>68</v>
      </c>
      <c r="AB771" s="5"/>
      <c r="AC771" s="5"/>
      <c r="AD771" s="5"/>
      <c r="AE771" s="5"/>
      <c r="AF771" s="5" t="s">
        <v>68</v>
      </c>
      <c r="AG771" s="5"/>
      <c r="AH771" s="5"/>
      <c r="AI771" s="5"/>
      <c r="AJ771" s="5"/>
      <c r="AK771" s="5"/>
      <c r="AL771" s="5"/>
      <c r="AM771" s="5"/>
      <c r="AN771" s="5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</row>
    <row r="772" spans="1:240" ht="30" customHeight="1">
      <c r="A772" s="5">
        <v>770</v>
      </c>
      <c r="B772" s="5" t="s">
        <v>68</v>
      </c>
      <c r="C772" s="5"/>
      <c r="D772" s="5"/>
      <c r="E772" s="5">
        <v>4210</v>
      </c>
      <c r="F772" s="5">
        <v>2160</v>
      </c>
      <c r="G772" s="5">
        <v>2150</v>
      </c>
      <c r="H772" s="5">
        <v>1430</v>
      </c>
      <c r="I772" s="5" t="s">
        <v>17</v>
      </c>
      <c r="J772" s="5">
        <v>88</v>
      </c>
      <c r="K772" s="30">
        <v>5</v>
      </c>
      <c r="L772" s="5">
        <v>467</v>
      </c>
      <c r="M772" s="31">
        <v>10</v>
      </c>
      <c r="N772" s="5">
        <v>54</v>
      </c>
      <c r="O772" s="5">
        <v>154200</v>
      </c>
      <c r="P772" s="5"/>
      <c r="Q772" s="5">
        <v>2</v>
      </c>
      <c r="R772" s="5">
        <v>8</v>
      </c>
      <c r="S772" s="5">
        <v>800</v>
      </c>
      <c r="T772" s="5" t="s">
        <v>48</v>
      </c>
      <c r="U772" s="5">
        <v>910</v>
      </c>
      <c r="V772" s="5">
        <v>14.4</v>
      </c>
      <c r="W772" s="5" t="s">
        <v>84</v>
      </c>
      <c r="X772" s="5">
        <v>57</v>
      </c>
      <c r="Y772" s="5">
        <v>970</v>
      </c>
      <c r="Z772" s="5">
        <v>166</v>
      </c>
      <c r="AA772" s="5" t="s">
        <v>68</v>
      </c>
      <c r="AB772" s="5"/>
      <c r="AC772" s="5"/>
      <c r="AD772" s="5"/>
      <c r="AE772" s="5"/>
      <c r="AF772" s="5" t="s">
        <v>68</v>
      </c>
      <c r="AG772" s="5"/>
      <c r="AH772" s="5"/>
      <c r="AI772" s="5"/>
      <c r="AJ772" s="5"/>
      <c r="AK772" s="5"/>
      <c r="AL772" s="5"/>
      <c r="AM772" s="5"/>
      <c r="AN772" s="5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</row>
    <row r="773" spans="1:240" ht="30" customHeight="1">
      <c r="A773" s="5">
        <v>771</v>
      </c>
      <c r="B773" s="5" t="s">
        <v>68</v>
      </c>
      <c r="C773" s="5"/>
      <c r="D773" s="5"/>
      <c r="E773" s="5">
        <v>4210</v>
      </c>
      <c r="F773" s="5">
        <v>2160</v>
      </c>
      <c r="G773" s="5">
        <v>2150</v>
      </c>
      <c r="H773" s="5">
        <v>1550</v>
      </c>
      <c r="I773" s="5" t="s">
        <v>17</v>
      </c>
      <c r="J773" s="5">
        <v>95</v>
      </c>
      <c r="K773" s="30">
        <v>5</v>
      </c>
      <c r="L773" s="5">
        <v>508</v>
      </c>
      <c r="M773" s="31">
        <v>10</v>
      </c>
      <c r="N773" s="5">
        <v>58</v>
      </c>
      <c r="O773" s="5">
        <v>140700</v>
      </c>
      <c r="P773" s="5"/>
      <c r="Q773" s="5">
        <v>2</v>
      </c>
      <c r="R773" s="5">
        <v>8</v>
      </c>
      <c r="S773" s="5">
        <v>800</v>
      </c>
      <c r="T773" s="5" t="s">
        <v>48</v>
      </c>
      <c r="U773" s="5">
        <v>910</v>
      </c>
      <c r="V773" s="5">
        <v>14.4</v>
      </c>
      <c r="W773" s="5" t="s">
        <v>84</v>
      </c>
      <c r="X773" s="5">
        <v>57</v>
      </c>
      <c r="Y773" s="5">
        <v>1292</v>
      </c>
      <c r="Z773" s="5">
        <v>220</v>
      </c>
      <c r="AA773" s="5" t="s">
        <v>68</v>
      </c>
      <c r="AB773" s="5"/>
      <c r="AC773" s="5"/>
      <c r="AD773" s="5"/>
      <c r="AE773" s="5"/>
      <c r="AF773" s="5" t="s">
        <v>68</v>
      </c>
      <c r="AG773" s="5"/>
      <c r="AH773" s="5"/>
      <c r="AI773" s="5"/>
      <c r="AJ773" s="5"/>
      <c r="AK773" s="5"/>
      <c r="AL773" s="5"/>
      <c r="AM773" s="5"/>
      <c r="AN773" s="5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</row>
    <row r="774" spans="1:240" ht="30" customHeight="1">
      <c r="A774" s="5">
        <v>772</v>
      </c>
      <c r="B774" s="5" t="s">
        <v>68</v>
      </c>
      <c r="C774" s="5"/>
      <c r="D774" s="5"/>
      <c r="E774" s="5">
        <v>5180</v>
      </c>
      <c r="F774" s="5">
        <v>2160</v>
      </c>
      <c r="G774" s="5">
        <v>2150</v>
      </c>
      <c r="H774" s="5">
        <v>1850</v>
      </c>
      <c r="I774" s="5" t="s">
        <v>17</v>
      </c>
      <c r="J774" s="5">
        <v>109</v>
      </c>
      <c r="K774" s="30">
        <v>5</v>
      </c>
      <c r="L774" s="5">
        <v>583</v>
      </c>
      <c r="M774" s="31">
        <v>10</v>
      </c>
      <c r="N774" s="5">
        <v>61</v>
      </c>
      <c r="O774" s="5">
        <v>192800</v>
      </c>
      <c r="P774" s="5"/>
      <c r="Q774" s="5">
        <v>2</v>
      </c>
      <c r="R774" s="5">
        <v>10</v>
      </c>
      <c r="S774" s="5">
        <v>800</v>
      </c>
      <c r="T774" s="5" t="s">
        <v>48</v>
      </c>
      <c r="U774" s="5">
        <v>910</v>
      </c>
      <c r="V774" s="5">
        <v>18</v>
      </c>
      <c r="W774" s="5" t="s">
        <v>84</v>
      </c>
      <c r="X774" s="5">
        <v>58</v>
      </c>
      <c r="Y774" s="5">
        <v>1212</v>
      </c>
      <c r="Z774" s="5">
        <v>206</v>
      </c>
      <c r="AA774" s="5" t="s">
        <v>68</v>
      </c>
      <c r="AB774" s="5"/>
      <c r="AC774" s="5"/>
      <c r="AD774" s="5"/>
      <c r="AE774" s="5"/>
      <c r="AF774" s="5" t="s">
        <v>68</v>
      </c>
      <c r="AG774" s="5"/>
      <c r="AH774" s="5"/>
      <c r="AI774" s="5"/>
      <c r="AJ774" s="5"/>
      <c r="AK774" s="5"/>
      <c r="AL774" s="5"/>
      <c r="AM774" s="5"/>
      <c r="AN774" s="5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</row>
    <row r="775" spans="1:240" ht="30" customHeight="1">
      <c r="A775" s="5">
        <v>773</v>
      </c>
      <c r="B775" s="5" t="s">
        <v>68</v>
      </c>
      <c r="C775" s="5"/>
      <c r="D775" s="5"/>
      <c r="E775" s="5">
        <v>5180</v>
      </c>
      <c r="F775" s="5">
        <v>2160</v>
      </c>
      <c r="G775" s="5">
        <v>2150</v>
      </c>
      <c r="H775" s="5">
        <v>1990</v>
      </c>
      <c r="I775" s="5" t="s">
        <v>17</v>
      </c>
      <c r="J775" s="5">
        <v>118</v>
      </c>
      <c r="K775" s="30">
        <v>5</v>
      </c>
      <c r="L775" s="5">
        <v>635</v>
      </c>
      <c r="M775" s="31">
        <v>10</v>
      </c>
      <c r="N775" s="5">
        <v>69</v>
      </c>
      <c r="O775" s="5">
        <v>176000</v>
      </c>
      <c r="P775" s="5"/>
      <c r="Q775" s="5">
        <v>2</v>
      </c>
      <c r="R775" s="5">
        <v>10</v>
      </c>
      <c r="S775" s="5">
        <v>800</v>
      </c>
      <c r="T775" s="5" t="s">
        <v>48</v>
      </c>
      <c r="U775" s="5">
        <v>910</v>
      </c>
      <c r="V775" s="5">
        <v>18</v>
      </c>
      <c r="W775" s="5" t="s">
        <v>84</v>
      </c>
      <c r="X775" s="5">
        <v>58</v>
      </c>
      <c r="Y775" s="5">
        <v>1616</v>
      </c>
      <c r="Z775" s="5">
        <v>276</v>
      </c>
      <c r="AA775" s="5" t="s">
        <v>68</v>
      </c>
      <c r="AB775" s="5"/>
      <c r="AC775" s="5"/>
      <c r="AD775" s="5"/>
      <c r="AE775" s="5"/>
      <c r="AF775" s="5" t="s">
        <v>68</v>
      </c>
      <c r="AG775" s="5"/>
      <c r="AH775" s="5"/>
      <c r="AI775" s="5"/>
      <c r="AJ775" s="5"/>
      <c r="AK775" s="5"/>
      <c r="AL775" s="5"/>
      <c r="AM775" s="5"/>
      <c r="AN775" s="5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</row>
    <row r="776" spans="1:240" ht="30" customHeight="1">
      <c r="A776" s="5">
        <v>774</v>
      </c>
      <c r="B776" s="5" t="s">
        <v>68</v>
      </c>
      <c r="C776" s="5"/>
      <c r="D776" s="5"/>
      <c r="E776" s="5">
        <v>2270</v>
      </c>
      <c r="F776" s="5">
        <v>2160</v>
      </c>
      <c r="G776" s="5">
        <v>2150</v>
      </c>
      <c r="H776" s="5">
        <v>740</v>
      </c>
      <c r="I776" s="5" t="s">
        <v>17</v>
      </c>
      <c r="J776" s="24">
        <v>27.234747604126181</v>
      </c>
      <c r="K776" s="30">
        <v>5</v>
      </c>
      <c r="L776" s="5">
        <v>145</v>
      </c>
      <c r="M776" s="31">
        <v>10</v>
      </c>
      <c r="N776" s="5"/>
      <c r="O776" s="5">
        <v>38000</v>
      </c>
      <c r="P776" s="5"/>
      <c r="Q776" s="5">
        <v>2</v>
      </c>
      <c r="R776" s="5">
        <v>4</v>
      </c>
      <c r="S776" s="5">
        <v>800</v>
      </c>
      <c r="T776" s="5" t="s">
        <v>48</v>
      </c>
      <c r="U776" s="5">
        <v>490</v>
      </c>
      <c r="V776" s="5">
        <v>0.9</v>
      </c>
      <c r="W776" s="5" t="s">
        <v>84</v>
      </c>
      <c r="X776" s="5" t="s">
        <v>48</v>
      </c>
      <c r="Y776" s="5">
        <v>484</v>
      </c>
      <c r="Z776" s="5">
        <v>84</v>
      </c>
      <c r="AA776" s="5" t="s">
        <v>68</v>
      </c>
      <c r="AB776" s="5"/>
      <c r="AC776" s="5"/>
      <c r="AD776" s="5"/>
      <c r="AE776" s="5"/>
      <c r="AF776" s="5" t="s">
        <v>68</v>
      </c>
      <c r="AG776" s="5"/>
      <c r="AH776" s="5"/>
      <c r="AI776" s="5"/>
      <c r="AJ776" s="5" t="s">
        <v>68</v>
      </c>
      <c r="AK776" s="5"/>
      <c r="AL776" s="5"/>
      <c r="AM776" s="5"/>
      <c r="AN776" s="5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</row>
    <row r="777" spans="1:240" ht="30" customHeight="1">
      <c r="A777" s="5">
        <v>775</v>
      </c>
      <c r="B777" s="5" t="s">
        <v>68</v>
      </c>
      <c r="C777" s="5"/>
      <c r="D777" s="5"/>
      <c r="E777" s="5">
        <v>2270</v>
      </c>
      <c r="F777" s="5">
        <v>2160</v>
      </c>
      <c r="G777" s="5">
        <v>2150</v>
      </c>
      <c r="H777" s="5">
        <v>740</v>
      </c>
      <c r="I777" s="5" t="s">
        <v>17</v>
      </c>
      <c r="J777" s="24">
        <v>39.443427564596533</v>
      </c>
      <c r="K777" s="30">
        <v>5</v>
      </c>
      <c r="L777" s="5">
        <v>210</v>
      </c>
      <c r="M777" s="31">
        <v>10</v>
      </c>
      <c r="N777" s="5"/>
      <c r="O777" s="5">
        <v>64000</v>
      </c>
      <c r="P777" s="5"/>
      <c r="Q777" s="5">
        <v>2</v>
      </c>
      <c r="R777" s="5">
        <v>4</v>
      </c>
      <c r="S777" s="5">
        <v>800</v>
      </c>
      <c r="T777" s="5" t="s">
        <v>48</v>
      </c>
      <c r="U777" s="5">
        <v>784</v>
      </c>
      <c r="V777" s="5">
        <v>3.5</v>
      </c>
      <c r="W777" s="5" t="s">
        <v>84</v>
      </c>
      <c r="X777" s="5" t="s">
        <v>48</v>
      </c>
      <c r="Y777" s="5">
        <v>484</v>
      </c>
      <c r="Z777" s="5">
        <v>84</v>
      </c>
      <c r="AA777" s="5" t="s">
        <v>68</v>
      </c>
      <c r="AB777" s="5"/>
      <c r="AC777" s="5"/>
      <c r="AD777" s="5"/>
      <c r="AE777" s="5"/>
      <c r="AF777" s="5" t="s">
        <v>68</v>
      </c>
      <c r="AG777" s="5"/>
      <c r="AH777" s="5"/>
      <c r="AI777" s="5"/>
      <c r="AJ777" s="5" t="s">
        <v>68</v>
      </c>
      <c r="AK777" s="5"/>
      <c r="AL777" s="5"/>
      <c r="AM777" s="5"/>
      <c r="AN777" s="5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</row>
    <row r="778" spans="1:240" ht="30" customHeight="1">
      <c r="A778" s="5">
        <v>776</v>
      </c>
      <c r="B778" s="5" t="s">
        <v>68</v>
      </c>
      <c r="C778" s="5"/>
      <c r="D778" s="5"/>
      <c r="E778" s="5">
        <v>2270</v>
      </c>
      <c r="F778" s="5">
        <v>2160</v>
      </c>
      <c r="G778" s="5">
        <v>2150</v>
      </c>
      <c r="H778" s="5">
        <v>740</v>
      </c>
      <c r="I778" s="5" t="s">
        <v>17</v>
      </c>
      <c r="J778" s="24">
        <v>46.956461386424451</v>
      </c>
      <c r="K778" s="30">
        <v>5</v>
      </c>
      <c r="L778" s="5">
        <v>250</v>
      </c>
      <c r="M778" s="31">
        <v>10</v>
      </c>
      <c r="N778" s="5"/>
      <c r="O778" s="5">
        <v>91000</v>
      </c>
      <c r="P778" s="5"/>
      <c r="Q778" s="5">
        <v>2</v>
      </c>
      <c r="R778" s="5">
        <v>4</v>
      </c>
      <c r="S778" s="5">
        <v>800</v>
      </c>
      <c r="T778" s="5" t="s">
        <v>48</v>
      </c>
      <c r="U778" s="5">
        <v>980</v>
      </c>
      <c r="V778" s="5">
        <v>6.6</v>
      </c>
      <c r="W778" s="5" t="s">
        <v>84</v>
      </c>
      <c r="X778" s="5" t="s">
        <v>48</v>
      </c>
      <c r="Y778" s="5">
        <v>484</v>
      </c>
      <c r="Z778" s="5">
        <v>84</v>
      </c>
      <c r="AA778" s="5" t="s">
        <v>68</v>
      </c>
      <c r="AB778" s="5"/>
      <c r="AC778" s="5"/>
      <c r="AD778" s="5"/>
      <c r="AE778" s="5"/>
      <c r="AF778" s="5" t="s">
        <v>68</v>
      </c>
      <c r="AG778" s="5"/>
      <c r="AH778" s="5"/>
      <c r="AI778" s="5"/>
      <c r="AJ778" s="5" t="s">
        <v>68</v>
      </c>
      <c r="AK778" s="5"/>
      <c r="AL778" s="5"/>
      <c r="AM778" s="5"/>
      <c r="AN778" s="5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</row>
    <row r="779" spans="1:240" ht="30" customHeight="1">
      <c r="A779" s="5">
        <v>777</v>
      </c>
      <c r="B779" s="5" t="s">
        <v>68</v>
      </c>
      <c r="C779" s="5"/>
      <c r="D779" s="5"/>
      <c r="E779" s="5">
        <v>2270</v>
      </c>
      <c r="F779" s="5">
        <v>2160</v>
      </c>
      <c r="G779" s="5">
        <v>2150</v>
      </c>
      <c r="H779" s="5">
        <v>800</v>
      </c>
      <c r="I779" s="5" t="s">
        <v>17</v>
      </c>
      <c r="J779" s="24">
        <v>28.925180214037461</v>
      </c>
      <c r="K779" s="30">
        <v>5</v>
      </c>
      <c r="L779" s="5">
        <v>154</v>
      </c>
      <c r="M779" s="31">
        <v>10</v>
      </c>
      <c r="N779" s="5"/>
      <c r="O779" s="5">
        <v>37000</v>
      </c>
      <c r="P779" s="5"/>
      <c r="Q779" s="5">
        <v>2</v>
      </c>
      <c r="R779" s="5">
        <v>4</v>
      </c>
      <c r="S779" s="5">
        <v>800</v>
      </c>
      <c r="T779" s="5" t="s">
        <v>48</v>
      </c>
      <c r="U779" s="5">
        <v>490</v>
      </c>
      <c r="V779" s="5">
        <v>0.9</v>
      </c>
      <c r="W779" s="5" t="s">
        <v>84</v>
      </c>
      <c r="X779" s="5" t="s">
        <v>48</v>
      </c>
      <c r="Y779" s="5">
        <v>646</v>
      </c>
      <c r="Z779" s="5">
        <v>112</v>
      </c>
      <c r="AA779" s="5" t="s">
        <v>68</v>
      </c>
      <c r="AB779" s="5"/>
      <c r="AC779" s="5"/>
      <c r="AD779" s="5"/>
      <c r="AE779" s="5"/>
      <c r="AF779" s="5" t="s">
        <v>68</v>
      </c>
      <c r="AG779" s="5"/>
      <c r="AH779" s="5"/>
      <c r="AI779" s="5"/>
      <c r="AJ779" s="5" t="s">
        <v>68</v>
      </c>
      <c r="AK779" s="5"/>
      <c r="AL779" s="5"/>
      <c r="AM779" s="5"/>
      <c r="AN779" s="5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</row>
    <row r="780" spans="1:240" ht="30" customHeight="1">
      <c r="A780" s="5">
        <v>778</v>
      </c>
      <c r="B780" s="5" t="s">
        <v>68</v>
      </c>
      <c r="C780" s="5"/>
      <c r="D780" s="5"/>
      <c r="E780" s="5">
        <v>2270</v>
      </c>
      <c r="F780" s="5">
        <v>2160</v>
      </c>
      <c r="G780" s="5">
        <v>2150</v>
      </c>
      <c r="H780" s="5">
        <v>800</v>
      </c>
      <c r="I780" s="5" t="s">
        <v>17</v>
      </c>
      <c r="J780" s="24">
        <v>42.636466938873404</v>
      </c>
      <c r="K780" s="30">
        <v>5</v>
      </c>
      <c r="L780" s="5">
        <v>227</v>
      </c>
      <c r="M780" s="31">
        <v>10</v>
      </c>
      <c r="N780" s="5"/>
      <c r="O780" s="5">
        <v>58000</v>
      </c>
      <c r="P780" s="5"/>
      <c r="Q780" s="5">
        <v>2</v>
      </c>
      <c r="R780" s="5">
        <v>4</v>
      </c>
      <c r="S780" s="5">
        <v>800</v>
      </c>
      <c r="T780" s="5" t="s">
        <v>48</v>
      </c>
      <c r="U780" s="5">
        <v>784</v>
      </c>
      <c r="V780" s="5">
        <v>3.3</v>
      </c>
      <c r="W780" s="5" t="s">
        <v>84</v>
      </c>
      <c r="X780" s="5" t="s">
        <v>48</v>
      </c>
      <c r="Y780" s="5">
        <v>646</v>
      </c>
      <c r="Z780" s="5">
        <v>112</v>
      </c>
      <c r="AA780" s="5" t="s">
        <v>68</v>
      </c>
      <c r="AB780" s="5"/>
      <c r="AC780" s="5"/>
      <c r="AD780" s="5"/>
      <c r="AE780" s="5"/>
      <c r="AF780" s="5" t="s">
        <v>68</v>
      </c>
      <c r="AG780" s="5"/>
      <c r="AH780" s="5"/>
      <c r="AI780" s="5"/>
      <c r="AJ780" s="5" t="s">
        <v>68</v>
      </c>
      <c r="AK780" s="5"/>
      <c r="AL780" s="5"/>
      <c r="AM780" s="5"/>
      <c r="AN780" s="5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</row>
    <row r="781" spans="1:240" ht="30" customHeight="1">
      <c r="A781" s="5">
        <v>779</v>
      </c>
      <c r="B781" s="5" t="s">
        <v>68</v>
      </c>
      <c r="C781" s="5"/>
      <c r="D781" s="5"/>
      <c r="E781" s="5">
        <v>2270</v>
      </c>
      <c r="F781" s="5">
        <v>2160</v>
      </c>
      <c r="G781" s="5">
        <v>2150</v>
      </c>
      <c r="H781" s="5">
        <v>800</v>
      </c>
      <c r="I781" s="5" t="s">
        <v>17</v>
      </c>
      <c r="J781" s="24">
        <v>52.966888443886781</v>
      </c>
      <c r="K781" s="30">
        <v>5</v>
      </c>
      <c r="L781" s="5">
        <v>282</v>
      </c>
      <c r="M781" s="31">
        <v>10</v>
      </c>
      <c r="N781" s="5"/>
      <c r="O781" s="5">
        <v>83000</v>
      </c>
      <c r="P781" s="5"/>
      <c r="Q781" s="5">
        <v>2</v>
      </c>
      <c r="R781" s="5">
        <v>4</v>
      </c>
      <c r="S781" s="5">
        <v>800</v>
      </c>
      <c r="T781" s="5" t="s">
        <v>48</v>
      </c>
      <c r="U781" s="5">
        <v>980</v>
      </c>
      <c r="V781" s="5">
        <v>6.6</v>
      </c>
      <c r="W781" s="5" t="s">
        <v>84</v>
      </c>
      <c r="X781" s="5" t="s">
        <v>48</v>
      </c>
      <c r="Y781" s="5">
        <v>646</v>
      </c>
      <c r="Z781" s="5">
        <v>112</v>
      </c>
      <c r="AA781" s="5" t="s">
        <v>68</v>
      </c>
      <c r="AB781" s="5"/>
      <c r="AC781" s="5"/>
      <c r="AD781" s="5"/>
      <c r="AE781" s="5"/>
      <c r="AF781" s="5" t="s">
        <v>68</v>
      </c>
      <c r="AG781" s="5"/>
      <c r="AH781" s="5"/>
      <c r="AI781" s="5"/>
      <c r="AJ781" s="5" t="s">
        <v>68</v>
      </c>
      <c r="AK781" s="5"/>
      <c r="AL781" s="5"/>
      <c r="AM781" s="5"/>
      <c r="AN781" s="5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</row>
    <row r="782" spans="1:240" ht="30" customHeight="1">
      <c r="A782" s="5">
        <v>780</v>
      </c>
      <c r="B782" s="5" t="s">
        <v>68</v>
      </c>
      <c r="C782" s="5"/>
      <c r="D782" s="5"/>
      <c r="E782" s="5">
        <v>3240</v>
      </c>
      <c r="F782" s="5">
        <v>2160</v>
      </c>
      <c r="G782" s="5">
        <v>2150</v>
      </c>
      <c r="H782" s="5">
        <v>1110</v>
      </c>
      <c r="I782" s="5" t="s">
        <v>17</v>
      </c>
      <c r="J782" s="24">
        <v>41.321686020053519</v>
      </c>
      <c r="K782" s="30">
        <v>5</v>
      </c>
      <c r="L782" s="5">
        <v>220</v>
      </c>
      <c r="M782" s="31">
        <v>10</v>
      </c>
      <c r="N782" s="5"/>
      <c r="O782" s="5">
        <v>57000</v>
      </c>
      <c r="P782" s="5"/>
      <c r="Q782" s="5">
        <v>2</v>
      </c>
      <c r="R782" s="5">
        <v>6</v>
      </c>
      <c r="S782" s="5">
        <v>800</v>
      </c>
      <c r="T782" s="5" t="s">
        <v>48</v>
      </c>
      <c r="U782" s="5">
        <v>490</v>
      </c>
      <c r="V782" s="5">
        <v>1.4</v>
      </c>
      <c r="W782" s="5" t="s">
        <v>84</v>
      </c>
      <c r="X782" s="5" t="s">
        <v>48</v>
      </c>
      <c r="Y782" s="5">
        <v>726</v>
      </c>
      <c r="Z782" s="5">
        <v>124</v>
      </c>
      <c r="AA782" s="5" t="s">
        <v>68</v>
      </c>
      <c r="AB782" s="5"/>
      <c r="AC782" s="5"/>
      <c r="AD782" s="5"/>
      <c r="AE782" s="5"/>
      <c r="AF782" s="5" t="s">
        <v>68</v>
      </c>
      <c r="AG782" s="5"/>
      <c r="AH782" s="5"/>
      <c r="AI782" s="5"/>
      <c r="AJ782" s="5" t="s">
        <v>68</v>
      </c>
      <c r="AK782" s="5"/>
      <c r="AL782" s="5"/>
      <c r="AM782" s="5"/>
      <c r="AN782" s="5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</row>
    <row r="783" spans="1:240" ht="30" customHeight="1">
      <c r="A783" s="5">
        <v>781</v>
      </c>
      <c r="B783" s="5" t="s">
        <v>68</v>
      </c>
      <c r="C783" s="5"/>
      <c r="D783" s="5"/>
      <c r="E783" s="5">
        <v>3240</v>
      </c>
      <c r="F783" s="5">
        <v>2160</v>
      </c>
      <c r="G783" s="5">
        <v>2150</v>
      </c>
      <c r="H783" s="5">
        <v>1110</v>
      </c>
      <c r="I783" s="5" t="s">
        <v>17</v>
      </c>
      <c r="J783" s="24">
        <v>58.601663810257712</v>
      </c>
      <c r="K783" s="30">
        <v>5</v>
      </c>
      <c r="L783" s="5">
        <v>312</v>
      </c>
      <c r="M783" s="31">
        <v>10</v>
      </c>
      <c r="N783" s="5"/>
      <c r="O783" s="5">
        <v>96000</v>
      </c>
      <c r="P783" s="5"/>
      <c r="Q783" s="5">
        <v>2</v>
      </c>
      <c r="R783" s="5">
        <v>6</v>
      </c>
      <c r="S783" s="5">
        <v>800</v>
      </c>
      <c r="T783" s="5" t="s">
        <v>48</v>
      </c>
      <c r="U783" s="5">
        <v>784</v>
      </c>
      <c r="V783" s="5">
        <v>3.5</v>
      </c>
      <c r="W783" s="5" t="s">
        <v>84</v>
      </c>
      <c r="X783" s="5" t="s">
        <v>48</v>
      </c>
      <c r="Y783" s="5">
        <v>726</v>
      </c>
      <c r="Z783" s="5">
        <v>124</v>
      </c>
      <c r="AA783" s="5" t="s">
        <v>68</v>
      </c>
      <c r="AB783" s="5"/>
      <c r="AC783" s="5"/>
      <c r="AD783" s="5"/>
      <c r="AE783" s="5"/>
      <c r="AF783" s="5" t="s">
        <v>68</v>
      </c>
      <c r="AG783" s="5"/>
      <c r="AH783" s="5"/>
      <c r="AI783" s="5"/>
      <c r="AJ783" s="5" t="s">
        <v>68</v>
      </c>
      <c r="AK783" s="5"/>
      <c r="AL783" s="5"/>
      <c r="AM783" s="5"/>
      <c r="AN783" s="5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</row>
    <row r="784" spans="1:240" ht="30" customHeight="1">
      <c r="A784" s="5">
        <v>782</v>
      </c>
      <c r="B784" s="5" t="s">
        <v>68</v>
      </c>
      <c r="C784" s="5"/>
      <c r="D784" s="5"/>
      <c r="E784" s="5">
        <v>3240</v>
      </c>
      <c r="F784" s="5">
        <v>2160</v>
      </c>
      <c r="G784" s="5">
        <v>2150</v>
      </c>
      <c r="H784" s="5">
        <v>1110</v>
      </c>
      <c r="I784" s="5" t="s">
        <v>17</v>
      </c>
      <c r="J784" s="24">
        <v>70.059040388545284</v>
      </c>
      <c r="K784" s="30">
        <v>5</v>
      </c>
      <c r="L784" s="5">
        <v>373</v>
      </c>
      <c r="M784" s="31">
        <v>10</v>
      </c>
      <c r="N784" s="5"/>
      <c r="O784" s="5">
        <v>135000</v>
      </c>
      <c r="P784" s="5"/>
      <c r="Q784" s="5">
        <v>2</v>
      </c>
      <c r="R784" s="5">
        <v>6</v>
      </c>
      <c r="S784" s="5">
        <v>800</v>
      </c>
      <c r="T784" s="5" t="s">
        <v>48</v>
      </c>
      <c r="U784" s="5">
        <v>980</v>
      </c>
      <c r="V784" s="5">
        <v>9.9</v>
      </c>
      <c r="W784" s="5" t="s">
        <v>84</v>
      </c>
      <c r="X784" s="5" t="s">
        <v>48</v>
      </c>
      <c r="Y784" s="5">
        <v>726</v>
      </c>
      <c r="Z784" s="5">
        <v>124</v>
      </c>
      <c r="AA784" s="5" t="s">
        <v>68</v>
      </c>
      <c r="AB784" s="5"/>
      <c r="AC784" s="5"/>
      <c r="AD784" s="5"/>
      <c r="AE784" s="5"/>
      <c r="AF784" s="5" t="s">
        <v>68</v>
      </c>
      <c r="AG784" s="5"/>
      <c r="AH784" s="5"/>
      <c r="AI784" s="5"/>
      <c r="AJ784" s="5" t="s">
        <v>68</v>
      </c>
      <c r="AK784" s="5"/>
      <c r="AL784" s="5"/>
      <c r="AM784" s="5"/>
      <c r="AN784" s="5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</row>
    <row r="785" spans="1:240" ht="30" customHeight="1">
      <c r="A785" s="5">
        <v>783</v>
      </c>
      <c r="B785" s="5" t="s">
        <v>68</v>
      </c>
      <c r="C785" s="5"/>
      <c r="D785" s="5"/>
      <c r="E785" s="5">
        <v>3240</v>
      </c>
      <c r="F785" s="5">
        <v>2160</v>
      </c>
      <c r="G785" s="5">
        <v>2150</v>
      </c>
      <c r="H785" s="5">
        <v>1200</v>
      </c>
      <c r="I785" s="5" t="s">
        <v>17</v>
      </c>
      <c r="J785" s="24">
        <v>42.260815247782006</v>
      </c>
      <c r="K785" s="30">
        <v>5</v>
      </c>
      <c r="L785" s="5">
        <v>225</v>
      </c>
      <c r="M785" s="31">
        <v>10</v>
      </c>
      <c r="N785" s="5"/>
      <c r="O785" s="5">
        <v>55000</v>
      </c>
      <c r="P785" s="5"/>
      <c r="Q785" s="5">
        <v>2</v>
      </c>
      <c r="R785" s="5">
        <v>6</v>
      </c>
      <c r="S785" s="5">
        <v>800</v>
      </c>
      <c r="T785" s="5" t="s">
        <v>48</v>
      </c>
      <c r="U785" s="5">
        <v>490</v>
      </c>
      <c r="V785" s="5">
        <v>1.4</v>
      </c>
      <c r="W785" s="5" t="s">
        <v>84</v>
      </c>
      <c r="X785" s="5" t="s">
        <v>48</v>
      </c>
      <c r="Y785" s="5">
        <v>970</v>
      </c>
      <c r="Z785" s="5">
        <v>166</v>
      </c>
      <c r="AA785" s="5" t="s">
        <v>68</v>
      </c>
      <c r="AB785" s="5"/>
      <c r="AC785" s="5"/>
      <c r="AD785" s="5"/>
      <c r="AE785" s="5"/>
      <c r="AF785" s="5" t="s">
        <v>68</v>
      </c>
      <c r="AG785" s="5"/>
      <c r="AH785" s="5"/>
      <c r="AI785" s="5"/>
      <c r="AJ785" s="5" t="s">
        <v>68</v>
      </c>
      <c r="AK785" s="5"/>
      <c r="AL785" s="5"/>
      <c r="AM785" s="5"/>
      <c r="AN785" s="5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</row>
    <row r="786" spans="1:240" ht="30" customHeight="1">
      <c r="A786" s="5">
        <v>784</v>
      </c>
      <c r="B786" s="5" t="s">
        <v>68</v>
      </c>
      <c r="C786" s="5"/>
      <c r="D786" s="5"/>
      <c r="E786" s="5">
        <v>3240</v>
      </c>
      <c r="F786" s="5">
        <v>2160</v>
      </c>
      <c r="G786" s="5">
        <v>2150</v>
      </c>
      <c r="H786" s="5">
        <v>1200</v>
      </c>
      <c r="I786" s="5" t="s">
        <v>17</v>
      </c>
      <c r="J786" s="24">
        <v>63.860787485537259</v>
      </c>
      <c r="K786" s="30">
        <v>5</v>
      </c>
      <c r="L786" s="5">
        <v>340</v>
      </c>
      <c r="M786" s="31">
        <v>10</v>
      </c>
      <c r="N786" s="5"/>
      <c r="O786" s="5">
        <v>87000</v>
      </c>
      <c r="P786" s="5"/>
      <c r="Q786" s="5">
        <v>2</v>
      </c>
      <c r="R786" s="5">
        <v>6</v>
      </c>
      <c r="S786" s="5">
        <v>800</v>
      </c>
      <c r="T786" s="5" t="s">
        <v>48</v>
      </c>
      <c r="U786" s="5">
        <v>784</v>
      </c>
      <c r="V786" s="5">
        <v>4.9000000000000004</v>
      </c>
      <c r="W786" s="5" t="s">
        <v>84</v>
      </c>
      <c r="X786" s="5" t="s">
        <v>48</v>
      </c>
      <c r="Y786" s="5">
        <v>970</v>
      </c>
      <c r="Z786" s="5">
        <v>166</v>
      </c>
      <c r="AA786" s="5" t="s">
        <v>68</v>
      </c>
      <c r="AB786" s="5"/>
      <c r="AC786" s="5"/>
      <c r="AD786" s="5"/>
      <c r="AE786" s="5"/>
      <c r="AF786" s="5" t="s">
        <v>68</v>
      </c>
      <c r="AG786" s="5"/>
      <c r="AH786" s="5"/>
      <c r="AI786" s="5"/>
      <c r="AJ786" s="5" t="s">
        <v>68</v>
      </c>
      <c r="AK786" s="5"/>
      <c r="AL786" s="5"/>
      <c r="AM786" s="5"/>
      <c r="AN786" s="5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</row>
    <row r="787" spans="1:240" ht="30" customHeight="1">
      <c r="A787" s="5">
        <v>785</v>
      </c>
      <c r="B787" s="5" t="s">
        <v>68</v>
      </c>
      <c r="C787" s="5"/>
      <c r="D787" s="5"/>
      <c r="E787" s="5">
        <v>3240</v>
      </c>
      <c r="F787" s="5">
        <v>2160</v>
      </c>
      <c r="G787" s="5">
        <v>2150</v>
      </c>
      <c r="H787" s="5">
        <v>1200</v>
      </c>
      <c r="I787" s="5" t="s">
        <v>17</v>
      </c>
      <c r="J787" s="24">
        <v>79.638158511375863</v>
      </c>
      <c r="K787" s="30">
        <v>5</v>
      </c>
      <c r="L787" s="5">
        <v>424</v>
      </c>
      <c r="M787" s="31">
        <v>10</v>
      </c>
      <c r="N787" s="5"/>
      <c r="O787" s="5">
        <v>125000</v>
      </c>
      <c r="P787" s="5"/>
      <c r="Q787" s="5">
        <v>2</v>
      </c>
      <c r="R787" s="5">
        <v>6</v>
      </c>
      <c r="S787" s="5">
        <v>800</v>
      </c>
      <c r="T787" s="5" t="s">
        <v>48</v>
      </c>
      <c r="U787" s="5">
        <v>980</v>
      </c>
      <c r="V787" s="5">
        <v>9.9</v>
      </c>
      <c r="W787" s="5" t="s">
        <v>84</v>
      </c>
      <c r="X787" s="5" t="s">
        <v>48</v>
      </c>
      <c r="Y787" s="5">
        <v>970</v>
      </c>
      <c r="Z787" s="5">
        <v>166</v>
      </c>
      <c r="AA787" s="5" t="s">
        <v>68</v>
      </c>
      <c r="AB787" s="5"/>
      <c r="AC787" s="5"/>
      <c r="AD787" s="5"/>
      <c r="AE787" s="5"/>
      <c r="AF787" s="5" t="s">
        <v>68</v>
      </c>
      <c r="AG787" s="5"/>
      <c r="AH787" s="5"/>
      <c r="AI787" s="5"/>
      <c r="AJ787" s="5" t="s">
        <v>68</v>
      </c>
      <c r="AK787" s="5"/>
      <c r="AL787" s="5"/>
      <c r="AM787" s="5"/>
      <c r="AN787" s="5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</row>
    <row r="788" spans="1:240" ht="30" customHeight="1">
      <c r="A788" s="5">
        <v>786</v>
      </c>
      <c r="B788" s="5" t="s">
        <v>68</v>
      </c>
      <c r="C788" s="5"/>
      <c r="D788" s="5"/>
      <c r="E788" s="5">
        <v>4210</v>
      </c>
      <c r="F788" s="5">
        <v>2160</v>
      </c>
      <c r="G788" s="5">
        <v>2150</v>
      </c>
      <c r="H788" s="5">
        <v>1430</v>
      </c>
      <c r="I788" s="5" t="s">
        <v>17</v>
      </c>
      <c r="J788" s="24">
        <v>54.845146899343753</v>
      </c>
      <c r="K788" s="30">
        <v>5</v>
      </c>
      <c r="L788" s="5">
        <v>292</v>
      </c>
      <c r="M788" s="31">
        <v>10</v>
      </c>
      <c r="N788" s="5"/>
      <c r="O788" s="5">
        <v>75000</v>
      </c>
      <c r="P788" s="5"/>
      <c r="Q788" s="5">
        <v>2</v>
      </c>
      <c r="R788" s="5">
        <v>8</v>
      </c>
      <c r="S788" s="5">
        <v>800</v>
      </c>
      <c r="T788" s="5" t="s">
        <v>48</v>
      </c>
      <c r="U788" s="5">
        <v>490</v>
      </c>
      <c r="V788" s="5">
        <v>1.9</v>
      </c>
      <c r="W788" s="5" t="s">
        <v>84</v>
      </c>
      <c r="X788" s="5" t="s">
        <v>48</v>
      </c>
      <c r="Y788" s="5">
        <v>970</v>
      </c>
      <c r="Z788" s="5">
        <v>166</v>
      </c>
      <c r="AA788" s="5" t="s">
        <v>68</v>
      </c>
      <c r="AB788" s="5"/>
      <c r="AC788" s="5"/>
      <c r="AD788" s="5"/>
      <c r="AE788" s="5"/>
      <c r="AF788" s="5" t="s">
        <v>68</v>
      </c>
      <c r="AG788" s="5"/>
      <c r="AH788" s="5"/>
      <c r="AI788" s="5"/>
      <c r="AJ788" s="5" t="s">
        <v>68</v>
      </c>
      <c r="AK788" s="5"/>
      <c r="AL788" s="5"/>
      <c r="AM788" s="5"/>
      <c r="AN788" s="5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</row>
    <row r="789" spans="1:240" ht="30" customHeight="1">
      <c r="A789" s="5">
        <v>787</v>
      </c>
      <c r="B789" s="5" t="s">
        <v>68</v>
      </c>
      <c r="C789" s="5"/>
      <c r="D789" s="5"/>
      <c r="E789" s="5">
        <v>4210</v>
      </c>
      <c r="F789" s="5">
        <v>2160</v>
      </c>
      <c r="G789" s="5">
        <v>2150</v>
      </c>
      <c r="H789" s="5">
        <v>1430</v>
      </c>
      <c r="I789" s="5" t="s">
        <v>17</v>
      </c>
      <c r="J789" s="24">
        <v>77.947725901464594</v>
      </c>
      <c r="K789" s="30">
        <v>5</v>
      </c>
      <c r="L789" s="5">
        <v>415</v>
      </c>
      <c r="M789" s="31">
        <v>10</v>
      </c>
      <c r="N789" s="5"/>
      <c r="O789" s="5">
        <v>130000</v>
      </c>
      <c r="P789" s="5"/>
      <c r="Q789" s="5">
        <v>2</v>
      </c>
      <c r="R789" s="5">
        <v>8</v>
      </c>
      <c r="S789" s="5">
        <v>800</v>
      </c>
      <c r="T789" s="5" t="s">
        <v>48</v>
      </c>
      <c r="U789" s="5">
        <v>784</v>
      </c>
      <c r="V789" s="5">
        <v>7</v>
      </c>
      <c r="W789" s="5" t="s">
        <v>84</v>
      </c>
      <c r="X789" s="5" t="s">
        <v>48</v>
      </c>
      <c r="Y789" s="5">
        <v>970</v>
      </c>
      <c r="Z789" s="5">
        <v>166</v>
      </c>
      <c r="AA789" s="5" t="s">
        <v>68</v>
      </c>
      <c r="AB789" s="5"/>
      <c r="AC789" s="5"/>
      <c r="AD789" s="5"/>
      <c r="AE789" s="5"/>
      <c r="AF789" s="5" t="s">
        <v>68</v>
      </c>
      <c r="AG789" s="5"/>
      <c r="AH789" s="5"/>
      <c r="AI789" s="5"/>
      <c r="AJ789" s="5" t="s">
        <v>68</v>
      </c>
      <c r="AK789" s="5"/>
      <c r="AL789" s="5"/>
      <c r="AM789" s="5"/>
      <c r="AN789" s="5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</row>
    <row r="790" spans="1:240" ht="30" customHeight="1">
      <c r="A790" s="5">
        <v>788</v>
      </c>
      <c r="B790" s="5" t="s">
        <v>68</v>
      </c>
      <c r="C790" s="5"/>
      <c r="D790" s="5"/>
      <c r="E790" s="5">
        <v>4210</v>
      </c>
      <c r="F790" s="5">
        <v>2160</v>
      </c>
      <c r="G790" s="5">
        <v>2150</v>
      </c>
      <c r="H790" s="5">
        <v>1430</v>
      </c>
      <c r="I790" s="5" t="s">
        <v>17</v>
      </c>
      <c r="J790" s="24">
        <v>92.973793545120415</v>
      </c>
      <c r="K790" s="30">
        <v>5</v>
      </c>
      <c r="L790" s="5">
        <v>495</v>
      </c>
      <c r="M790" s="31">
        <v>10</v>
      </c>
      <c r="N790" s="5"/>
      <c r="O790" s="5">
        <v>175000</v>
      </c>
      <c r="P790" s="5"/>
      <c r="Q790" s="5">
        <v>2</v>
      </c>
      <c r="R790" s="5">
        <v>8</v>
      </c>
      <c r="S790" s="5">
        <v>800</v>
      </c>
      <c r="T790" s="5" t="s">
        <v>48</v>
      </c>
      <c r="U790" s="5">
        <v>980</v>
      </c>
      <c r="V790" s="5">
        <v>13.1</v>
      </c>
      <c r="W790" s="5" t="s">
        <v>84</v>
      </c>
      <c r="X790" s="5" t="s">
        <v>48</v>
      </c>
      <c r="Y790" s="5">
        <v>970</v>
      </c>
      <c r="Z790" s="5">
        <v>166</v>
      </c>
      <c r="AA790" s="5" t="s">
        <v>68</v>
      </c>
      <c r="AB790" s="5"/>
      <c r="AC790" s="5"/>
      <c r="AD790" s="5"/>
      <c r="AE790" s="5"/>
      <c r="AF790" s="5" t="s">
        <v>68</v>
      </c>
      <c r="AG790" s="5"/>
      <c r="AH790" s="5"/>
      <c r="AI790" s="5"/>
      <c r="AJ790" s="5" t="s">
        <v>68</v>
      </c>
      <c r="AK790" s="5"/>
      <c r="AL790" s="5"/>
      <c r="AM790" s="5"/>
      <c r="AN790" s="5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</row>
    <row r="791" spans="1:240" ht="30" customHeight="1">
      <c r="A791" s="5">
        <v>789</v>
      </c>
      <c r="B791" s="5" t="s">
        <v>68</v>
      </c>
      <c r="C791" s="5"/>
      <c r="D791" s="5"/>
      <c r="E791" s="5">
        <v>4210</v>
      </c>
      <c r="F791" s="5">
        <v>2160</v>
      </c>
      <c r="G791" s="5">
        <v>2150</v>
      </c>
      <c r="H791" s="5">
        <v>1550</v>
      </c>
      <c r="I791" s="5" t="s">
        <v>17</v>
      </c>
      <c r="J791" s="24">
        <v>57.28688289143782</v>
      </c>
      <c r="K791" s="30">
        <v>5</v>
      </c>
      <c r="L791" s="5">
        <v>305</v>
      </c>
      <c r="M791" s="31">
        <v>10</v>
      </c>
      <c r="N791" s="5"/>
      <c r="O791" s="5">
        <v>74000</v>
      </c>
      <c r="P791" s="5"/>
      <c r="Q791" s="5">
        <v>2</v>
      </c>
      <c r="R791" s="5">
        <v>8</v>
      </c>
      <c r="S791" s="5">
        <v>800</v>
      </c>
      <c r="T791" s="5" t="s">
        <v>48</v>
      </c>
      <c r="U791" s="5">
        <v>490</v>
      </c>
      <c r="V791" s="5">
        <v>1.9</v>
      </c>
      <c r="W791" s="5" t="s">
        <v>84</v>
      </c>
      <c r="X791" s="5" t="s">
        <v>48</v>
      </c>
      <c r="Y791" s="5">
        <v>1292</v>
      </c>
      <c r="Z791" s="5">
        <v>220</v>
      </c>
      <c r="AA791" s="5" t="s">
        <v>68</v>
      </c>
      <c r="AB791" s="5"/>
      <c r="AC791" s="5"/>
      <c r="AD791" s="5"/>
      <c r="AE791" s="5"/>
      <c r="AF791" s="5" t="s">
        <v>68</v>
      </c>
      <c r="AG791" s="5"/>
      <c r="AH791" s="5"/>
      <c r="AI791" s="5"/>
      <c r="AJ791" s="5" t="s">
        <v>68</v>
      </c>
      <c r="AK791" s="5"/>
      <c r="AL791" s="5"/>
      <c r="AM791" s="5"/>
      <c r="AN791" s="5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</row>
    <row r="792" spans="1:240" ht="30" customHeight="1">
      <c r="A792" s="5">
        <v>790</v>
      </c>
      <c r="B792" s="5" t="s">
        <v>68</v>
      </c>
      <c r="C792" s="5"/>
      <c r="D792" s="5"/>
      <c r="E792" s="5">
        <v>4210</v>
      </c>
      <c r="F792" s="5">
        <v>2160</v>
      </c>
      <c r="G792" s="5">
        <v>2150</v>
      </c>
      <c r="H792" s="5">
        <v>1550</v>
      </c>
      <c r="I792" s="5" t="s">
        <v>17</v>
      </c>
      <c r="J792" s="24">
        <v>85.648585568838186</v>
      </c>
      <c r="K792" s="30">
        <v>5</v>
      </c>
      <c r="L792" s="5">
        <v>456</v>
      </c>
      <c r="M792" s="31">
        <v>10</v>
      </c>
      <c r="N792" s="5"/>
      <c r="O792" s="5">
        <v>115000</v>
      </c>
      <c r="P792" s="5"/>
      <c r="Q792" s="5">
        <v>2</v>
      </c>
      <c r="R792" s="5">
        <v>8</v>
      </c>
      <c r="S792" s="5">
        <v>800</v>
      </c>
      <c r="T792" s="5" t="s">
        <v>48</v>
      </c>
      <c r="U792" s="5">
        <v>784</v>
      </c>
      <c r="V792" s="5">
        <v>7</v>
      </c>
      <c r="W792" s="5" t="s">
        <v>84</v>
      </c>
      <c r="X792" s="5" t="s">
        <v>48</v>
      </c>
      <c r="Y792" s="5">
        <v>1292</v>
      </c>
      <c r="Z792" s="5">
        <v>220</v>
      </c>
      <c r="AA792" s="5" t="s">
        <v>68</v>
      </c>
      <c r="AB792" s="5"/>
      <c r="AC792" s="5"/>
      <c r="AD792" s="5"/>
      <c r="AE792" s="5"/>
      <c r="AF792" s="5" t="s">
        <v>68</v>
      </c>
      <c r="AG792" s="5"/>
      <c r="AH792" s="5"/>
      <c r="AI792" s="5"/>
      <c r="AJ792" s="5" t="s">
        <v>68</v>
      </c>
      <c r="AK792" s="5"/>
      <c r="AL792" s="5"/>
      <c r="AM792" s="5"/>
      <c r="AN792" s="5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</row>
    <row r="793" spans="1:240" ht="30" customHeight="1">
      <c r="A793" s="5">
        <v>791</v>
      </c>
      <c r="B793" s="5" t="s">
        <v>68</v>
      </c>
      <c r="C793" s="5"/>
      <c r="D793" s="5"/>
      <c r="E793" s="5">
        <v>4210</v>
      </c>
      <c r="F793" s="5">
        <v>2160</v>
      </c>
      <c r="G793" s="5">
        <v>2150</v>
      </c>
      <c r="H793" s="5">
        <v>1550</v>
      </c>
      <c r="I793" s="5" t="s">
        <v>17</v>
      </c>
      <c r="J793" s="24">
        <v>104.80682181449936</v>
      </c>
      <c r="K793" s="30">
        <v>5</v>
      </c>
      <c r="L793" s="5">
        <v>558</v>
      </c>
      <c r="M793" s="31">
        <v>10</v>
      </c>
      <c r="N793" s="5"/>
      <c r="O793" s="5">
        <v>165000</v>
      </c>
      <c r="P793" s="5"/>
      <c r="Q793" s="5">
        <v>2</v>
      </c>
      <c r="R793" s="5">
        <v>8</v>
      </c>
      <c r="S793" s="5">
        <v>800</v>
      </c>
      <c r="T793" s="5" t="s">
        <v>48</v>
      </c>
      <c r="U793" s="5">
        <v>980</v>
      </c>
      <c r="V793" s="5">
        <v>13.1</v>
      </c>
      <c r="W793" s="5" t="s">
        <v>84</v>
      </c>
      <c r="X793" s="5" t="s">
        <v>48</v>
      </c>
      <c r="Y793" s="5">
        <v>1292</v>
      </c>
      <c r="Z793" s="5">
        <v>220</v>
      </c>
      <c r="AA793" s="5" t="s">
        <v>68</v>
      </c>
      <c r="AB793" s="5"/>
      <c r="AC793" s="5"/>
      <c r="AD793" s="5"/>
      <c r="AE793" s="5"/>
      <c r="AF793" s="5" t="s">
        <v>68</v>
      </c>
      <c r="AG793" s="5"/>
      <c r="AH793" s="5"/>
      <c r="AI793" s="5"/>
      <c r="AJ793" s="5" t="s">
        <v>68</v>
      </c>
      <c r="AK793" s="5"/>
      <c r="AL793" s="5"/>
      <c r="AM793" s="5"/>
      <c r="AN793" s="5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</row>
    <row r="794" spans="1:240" ht="30" customHeight="1">
      <c r="A794" s="5">
        <v>792</v>
      </c>
      <c r="B794" s="5" t="s">
        <v>68</v>
      </c>
      <c r="C794" s="5"/>
      <c r="D794" s="5"/>
      <c r="E794" s="5">
        <v>5180</v>
      </c>
      <c r="F794" s="5">
        <v>2160</v>
      </c>
      <c r="G794" s="5">
        <v>2150</v>
      </c>
      <c r="H794" s="5">
        <v>1850</v>
      </c>
      <c r="I794" s="5" t="s">
        <v>17</v>
      </c>
      <c r="J794" s="24">
        <v>68.744259469725392</v>
      </c>
      <c r="K794" s="30">
        <v>5</v>
      </c>
      <c r="L794" s="5">
        <v>366</v>
      </c>
      <c r="M794" s="31">
        <v>10</v>
      </c>
      <c r="N794" s="5"/>
      <c r="O794" s="5">
        <v>94000</v>
      </c>
      <c r="P794" s="5"/>
      <c r="Q794" s="5">
        <v>2</v>
      </c>
      <c r="R794" s="5">
        <v>10</v>
      </c>
      <c r="S794" s="5">
        <v>800</v>
      </c>
      <c r="T794" s="5" t="s">
        <v>48</v>
      </c>
      <c r="U794" s="5">
        <v>490</v>
      </c>
      <c r="V794" s="5">
        <v>2.2999999999999998</v>
      </c>
      <c r="W794" s="5" t="s">
        <v>84</v>
      </c>
      <c r="X794" s="5" t="s">
        <v>48</v>
      </c>
      <c r="Y794" s="5">
        <v>1212</v>
      </c>
      <c r="Z794" s="5">
        <v>206</v>
      </c>
      <c r="AA794" s="5" t="s">
        <v>68</v>
      </c>
      <c r="AB794" s="5"/>
      <c r="AC794" s="5"/>
      <c r="AD794" s="5"/>
      <c r="AE794" s="5"/>
      <c r="AF794" s="5" t="s">
        <v>68</v>
      </c>
      <c r="AG794" s="5"/>
      <c r="AH794" s="5"/>
      <c r="AI794" s="5"/>
      <c r="AJ794" s="5" t="s">
        <v>68</v>
      </c>
      <c r="AK794" s="5"/>
      <c r="AL794" s="5"/>
      <c r="AM794" s="5"/>
      <c r="AN794" s="5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</row>
    <row r="795" spans="1:240" ht="30" customHeight="1">
      <c r="A795" s="5">
        <v>793</v>
      </c>
      <c r="B795" s="5" t="s">
        <v>68</v>
      </c>
      <c r="C795" s="5"/>
      <c r="D795" s="5"/>
      <c r="E795" s="5">
        <v>5180</v>
      </c>
      <c r="F795" s="5">
        <v>2160</v>
      </c>
      <c r="G795" s="5">
        <v>2150</v>
      </c>
      <c r="H795" s="5">
        <v>1850</v>
      </c>
      <c r="I795" s="5" t="s">
        <v>17</v>
      </c>
      <c r="J795" s="24">
        <v>97.66943968376286</v>
      </c>
      <c r="K795" s="30">
        <v>5</v>
      </c>
      <c r="L795" s="5">
        <v>520</v>
      </c>
      <c r="M795" s="31">
        <v>10</v>
      </c>
      <c r="N795" s="5"/>
      <c r="O795" s="5">
        <v>160000</v>
      </c>
      <c r="P795" s="5"/>
      <c r="Q795" s="5">
        <v>2</v>
      </c>
      <c r="R795" s="5">
        <v>10</v>
      </c>
      <c r="S795" s="5">
        <v>800</v>
      </c>
      <c r="T795" s="5" t="s">
        <v>48</v>
      </c>
      <c r="U795" s="5">
        <v>784</v>
      </c>
      <c r="V795" s="5">
        <v>8.6999999999999993</v>
      </c>
      <c r="W795" s="5" t="s">
        <v>84</v>
      </c>
      <c r="X795" s="5" t="s">
        <v>48</v>
      </c>
      <c r="Y795" s="5">
        <v>1212</v>
      </c>
      <c r="Z795" s="5">
        <v>206</v>
      </c>
      <c r="AA795" s="5" t="s">
        <v>68</v>
      </c>
      <c r="AB795" s="5"/>
      <c r="AC795" s="5"/>
      <c r="AD795" s="5"/>
      <c r="AE795" s="5"/>
      <c r="AF795" s="5" t="s">
        <v>68</v>
      </c>
      <c r="AG795" s="5"/>
      <c r="AH795" s="5"/>
      <c r="AI795" s="5"/>
      <c r="AJ795" s="5" t="s">
        <v>68</v>
      </c>
      <c r="AK795" s="5"/>
      <c r="AL795" s="5"/>
      <c r="AM795" s="5"/>
      <c r="AN795" s="5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</row>
    <row r="796" spans="1:240" ht="30" customHeight="1">
      <c r="A796" s="5">
        <v>794</v>
      </c>
      <c r="B796" s="5" t="s">
        <v>68</v>
      </c>
      <c r="C796" s="5"/>
      <c r="D796" s="5"/>
      <c r="E796" s="5">
        <v>5180</v>
      </c>
      <c r="F796" s="5">
        <v>2160</v>
      </c>
      <c r="G796" s="5">
        <v>2150</v>
      </c>
      <c r="H796" s="5">
        <v>1850</v>
      </c>
      <c r="I796" s="5" t="s">
        <v>17</v>
      </c>
      <c r="J796" s="24">
        <v>118.3302826937896</v>
      </c>
      <c r="K796" s="30">
        <v>5</v>
      </c>
      <c r="L796" s="5">
        <v>630</v>
      </c>
      <c r="M796" s="31">
        <v>10</v>
      </c>
      <c r="N796" s="5"/>
      <c r="O796" s="5">
        <v>220000</v>
      </c>
      <c r="P796" s="5"/>
      <c r="Q796" s="5">
        <v>2</v>
      </c>
      <c r="R796" s="5">
        <v>10</v>
      </c>
      <c r="S796" s="5">
        <v>800</v>
      </c>
      <c r="T796" s="5" t="s">
        <v>48</v>
      </c>
      <c r="U796" s="5">
        <v>980</v>
      </c>
      <c r="V796" s="5">
        <v>16.399999999999999</v>
      </c>
      <c r="W796" s="5" t="s">
        <v>84</v>
      </c>
      <c r="X796" s="5" t="s">
        <v>48</v>
      </c>
      <c r="Y796" s="5">
        <v>1212</v>
      </c>
      <c r="Z796" s="5">
        <v>206</v>
      </c>
      <c r="AA796" s="5" t="s">
        <v>68</v>
      </c>
      <c r="AB796" s="5"/>
      <c r="AC796" s="5"/>
      <c r="AD796" s="5"/>
      <c r="AE796" s="5"/>
      <c r="AF796" s="5" t="s">
        <v>68</v>
      </c>
      <c r="AG796" s="5"/>
      <c r="AH796" s="5"/>
      <c r="AI796" s="5"/>
      <c r="AJ796" s="5" t="s">
        <v>68</v>
      </c>
      <c r="AK796" s="5"/>
      <c r="AL796" s="5"/>
      <c r="AM796" s="5"/>
      <c r="AN796" s="5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</row>
    <row r="797" spans="1:240" ht="30" customHeight="1">
      <c r="A797" s="5">
        <v>795</v>
      </c>
      <c r="B797" s="5" t="s">
        <v>68</v>
      </c>
      <c r="C797" s="5"/>
      <c r="D797" s="5"/>
      <c r="E797" s="5">
        <v>5180</v>
      </c>
      <c r="F797" s="5">
        <v>2160</v>
      </c>
      <c r="G797" s="5">
        <v>2150</v>
      </c>
      <c r="H797" s="5">
        <v>1990</v>
      </c>
      <c r="I797" s="5" t="s">
        <v>17</v>
      </c>
      <c r="J797" s="24">
        <v>70.434692079636676</v>
      </c>
      <c r="K797" s="30">
        <v>5</v>
      </c>
      <c r="L797" s="5">
        <v>375</v>
      </c>
      <c r="M797" s="31">
        <v>10</v>
      </c>
      <c r="N797" s="5"/>
      <c r="O797" s="5">
        <v>92500</v>
      </c>
      <c r="P797" s="5"/>
      <c r="Q797" s="5">
        <v>2</v>
      </c>
      <c r="R797" s="5">
        <v>10</v>
      </c>
      <c r="S797" s="5">
        <v>800</v>
      </c>
      <c r="T797" s="5" t="s">
        <v>48</v>
      </c>
      <c r="U797" s="5">
        <v>490</v>
      </c>
      <c r="V797" s="5">
        <v>2.2999999999999998</v>
      </c>
      <c r="W797" s="5" t="s">
        <v>84</v>
      </c>
      <c r="X797" s="5" t="s">
        <v>48</v>
      </c>
      <c r="Y797" s="5">
        <v>1616</v>
      </c>
      <c r="Z797" s="5">
        <v>276</v>
      </c>
      <c r="AA797" s="5" t="s">
        <v>68</v>
      </c>
      <c r="AB797" s="5"/>
      <c r="AC797" s="5"/>
      <c r="AD797" s="5"/>
      <c r="AE797" s="5"/>
      <c r="AF797" s="5" t="s">
        <v>68</v>
      </c>
      <c r="AG797" s="5"/>
      <c r="AH797" s="5"/>
      <c r="AI797" s="5"/>
      <c r="AJ797" s="5" t="s">
        <v>68</v>
      </c>
      <c r="AK797" s="5"/>
      <c r="AL797" s="5"/>
      <c r="AM797" s="5"/>
      <c r="AN797" s="5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</row>
    <row r="798" spans="1:240" ht="30" customHeight="1">
      <c r="A798" s="5">
        <v>796</v>
      </c>
      <c r="B798" s="5" t="s">
        <v>68</v>
      </c>
      <c r="C798" s="5"/>
      <c r="D798" s="5"/>
      <c r="E798" s="5">
        <v>5180</v>
      </c>
      <c r="F798" s="5">
        <v>2160</v>
      </c>
      <c r="G798" s="5">
        <v>2150</v>
      </c>
      <c r="H798" s="5">
        <v>1990</v>
      </c>
      <c r="I798" s="5" t="s">
        <v>17</v>
      </c>
      <c r="J798" s="24">
        <v>105.55812519668216</v>
      </c>
      <c r="K798" s="30">
        <v>5</v>
      </c>
      <c r="L798" s="5">
        <v>562</v>
      </c>
      <c r="M798" s="31">
        <v>10</v>
      </c>
      <c r="N798" s="5"/>
      <c r="O798" s="5">
        <v>146000</v>
      </c>
      <c r="P798" s="5"/>
      <c r="Q798" s="5">
        <v>2</v>
      </c>
      <c r="R798" s="5">
        <v>10</v>
      </c>
      <c r="S798" s="5">
        <v>800</v>
      </c>
      <c r="T798" s="5" t="s">
        <v>48</v>
      </c>
      <c r="U798" s="5">
        <v>784</v>
      </c>
      <c r="V798" s="5">
        <v>8.6999999999999993</v>
      </c>
      <c r="W798" s="5" t="s">
        <v>84</v>
      </c>
      <c r="X798" s="5" t="s">
        <v>48</v>
      </c>
      <c r="Y798" s="5">
        <v>1616</v>
      </c>
      <c r="Z798" s="5">
        <v>276</v>
      </c>
      <c r="AA798" s="5" t="s">
        <v>68</v>
      </c>
      <c r="AB798" s="5"/>
      <c r="AC798" s="5"/>
      <c r="AD798" s="5"/>
      <c r="AE798" s="5"/>
      <c r="AF798" s="5" t="s">
        <v>68</v>
      </c>
      <c r="AG798" s="5"/>
      <c r="AH798" s="5"/>
      <c r="AI798" s="5"/>
      <c r="AJ798" s="5" t="s">
        <v>68</v>
      </c>
      <c r="AK798" s="5"/>
      <c r="AL798" s="5"/>
      <c r="AM798" s="5"/>
      <c r="AN798" s="5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</row>
    <row r="799" spans="1:240" ht="30" customHeight="1">
      <c r="A799" s="5">
        <v>797</v>
      </c>
      <c r="B799" s="5" t="s">
        <v>68</v>
      </c>
      <c r="C799" s="5"/>
      <c r="D799" s="5"/>
      <c r="E799" s="5">
        <v>5180</v>
      </c>
      <c r="F799" s="5">
        <v>2160</v>
      </c>
      <c r="G799" s="5">
        <v>2150</v>
      </c>
      <c r="H799" s="5">
        <v>1990</v>
      </c>
      <c r="I799" s="5" t="s">
        <v>17</v>
      </c>
      <c r="J799" s="24">
        <v>131.10244019089706</v>
      </c>
      <c r="K799" s="30">
        <v>5</v>
      </c>
      <c r="L799" s="5">
        <v>698</v>
      </c>
      <c r="M799" s="31">
        <v>10</v>
      </c>
      <c r="N799" s="5"/>
      <c r="O799" s="5">
        <v>203000</v>
      </c>
      <c r="P799" s="5"/>
      <c r="Q799" s="5">
        <v>2</v>
      </c>
      <c r="R799" s="5">
        <v>10</v>
      </c>
      <c r="S799" s="5">
        <v>800</v>
      </c>
      <c r="T799" s="5" t="s">
        <v>48</v>
      </c>
      <c r="U799" s="5">
        <v>980</v>
      </c>
      <c r="V799" s="5">
        <v>16.399999999999999</v>
      </c>
      <c r="W799" s="5" t="s">
        <v>84</v>
      </c>
      <c r="X799" s="5" t="s">
        <v>48</v>
      </c>
      <c r="Y799" s="5">
        <v>1616</v>
      </c>
      <c r="Z799" s="5">
        <v>276</v>
      </c>
      <c r="AA799" s="5" t="s">
        <v>68</v>
      </c>
      <c r="AB799" s="5"/>
      <c r="AC799" s="5"/>
      <c r="AD799" s="5"/>
      <c r="AE799" s="5"/>
      <c r="AF799" s="5" t="s">
        <v>68</v>
      </c>
      <c r="AG799" s="5"/>
      <c r="AH799" s="5"/>
      <c r="AI799" s="5"/>
      <c r="AJ799" s="5" t="s">
        <v>68</v>
      </c>
      <c r="AK799" s="5"/>
      <c r="AL799" s="5"/>
      <c r="AM799" s="5"/>
      <c r="AN799" s="5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</row>
    <row r="800" spans="1:240" ht="30" customHeight="1">
      <c r="A800" s="5">
        <v>798</v>
      </c>
      <c r="B800" s="5" t="s">
        <v>68</v>
      </c>
      <c r="C800" s="5"/>
      <c r="D800" s="5"/>
      <c r="E800" s="5">
        <v>3250</v>
      </c>
      <c r="F800" s="5">
        <v>2200</v>
      </c>
      <c r="G800" s="5">
        <v>2090</v>
      </c>
      <c r="H800" s="5">
        <v>820</v>
      </c>
      <c r="I800" s="5" t="s">
        <v>17</v>
      </c>
      <c r="J800" s="5">
        <v>55</v>
      </c>
      <c r="K800" s="30">
        <v>5</v>
      </c>
      <c r="L800" s="5">
        <v>283</v>
      </c>
      <c r="M800" s="31">
        <v>10</v>
      </c>
      <c r="N800" s="5">
        <v>63</v>
      </c>
      <c r="O800" s="5">
        <v>84000</v>
      </c>
      <c r="P800" s="5"/>
      <c r="Q800" s="5">
        <v>2</v>
      </c>
      <c r="R800" s="5">
        <v>4</v>
      </c>
      <c r="S800" s="5">
        <v>800</v>
      </c>
      <c r="T800" s="5" t="s">
        <v>48</v>
      </c>
      <c r="U800" s="5">
        <v>910</v>
      </c>
      <c r="V800" s="5">
        <v>6.8</v>
      </c>
      <c r="W800" s="5" t="s">
        <v>84</v>
      </c>
      <c r="X800" s="5">
        <v>54</v>
      </c>
      <c r="Y800" s="5">
        <v>880</v>
      </c>
      <c r="Z800" s="5">
        <v>154</v>
      </c>
      <c r="AA800" s="5" t="s">
        <v>68</v>
      </c>
      <c r="AB800" s="5" t="s">
        <v>68</v>
      </c>
      <c r="AC800" s="5"/>
      <c r="AD800" s="5"/>
      <c r="AE800" s="5"/>
      <c r="AF800" s="5" t="s">
        <v>68</v>
      </c>
      <c r="AG800" s="5"/>
      <c r="AH800" s="5"/>
      <c r="AI800" s="5"/>
      <c r="AJ800" s="5"/>
      <c r="AK800" s="5"/>
      <c r="AL800" s="5"/>
      <c r="AM800" s="5"/>
      <c r="AN800" s="5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</row>
    <row r="801" spans="1:240" ht="30" customHeight="1">
      <c r="A801" s="5">
        <v>799</v>
      </c>
      <c r="B801" s="5" t="s">
        <v>68</v>
      </c>
      <c r="C801" s="5"/>
      <c r="D801" s="5"/>
      <c r="E801" s="5">
        <v>3250</v>
      </c>
      <c r="F801" s="5">
        <v>2200</v>
      </c>
      <c r="G801" s="5">
        <v>2090</v>
      </c>
      <c r="H801" s="5">
        <v>920</v>
      </c>
      <c r="I801" s="5" t="s">
        <v>17</v>
      </c>
      <c r="J801" s="5">
        <v>61</v>
      </c>
      <c r="K801" s="30">
        <v>5</v>
      </c>
      <c r="L801" s="5">
        <v>314</v>
      </c>
      <c r="M801" s="31">
        <v>10</v>
      </c>
      <c r="N801" s="5">
        <v>69</v>
      </c>
      <c r="O801" s="5">
        <v>82000</v>
      </c>
      <c r="P801" s="5"/>
      <c r="Q801" s="5">
        <v>2</v>
      </c>
      <c r="R801" s="5">
        <v>4</v>
      </c>
      <c r="S801" s="5">
        <v>800</v>
      </c>
      <c r="T801" s="5" t="s">
        <v>48</v>
      </c>
      <c r="U801" s="5">
        <v>910</v>
      </c>
      <c r="V801" s="5">
        <v>6.8</v>
      </c>
      <c r="W801" s="5" t="s">
        <v>84</v>
      </c>
      <c r="X801" s="5">
        <v>54</v>
      </c>
      <c r="Y801" s="5">
        <v>1172</v>
      </c>
      <c r="Z801" s="5">
        <v>194</v>
      </c>
      <c r="AA801" s="5" t="s">
        <v>68</v>
      </c>
      <c r="AB801" s="5" t="s">
        <v>68</v>
      </c>
      <c r="AC801" s="5"/>
      <c r="AD801" s="5"/>
      <c r="AE801" s="5"/>
      <c r="AF801" s="5" t="s">
        <v>68</v>
      </c>
      <c r="AG801" s="5"/>
      <c r="AH801" s="5"/>
      <c r="AI801" s="5"/>
      <c r="AJ801" s="5"/>
      <c r="AK801" s="5"/>
      <c r="AL801" s="5"/>
      <c r="AM801" s="5"/>
      <c r="AN801" s="5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</row>
    <row r="802" spans="1:240" ht="30" customHeight="1">
      <c r="A802" s="5">
        <v>800</v>
      </c>
      <c r="B802" s="5" t="s">
        <v>68</v>
      </c>
      <c r="C802" s="5"/>
      <c r="D802" s="5"/>
      <c r="E802" s="5">
        <v>3850</v>
      </c>
      <c r="F802" s="5">
        <v>2200</v>
      </c>
      <c r="G802" s="5">
        <v>2090</v>
      </c>
      <c r="H802" s="5">
        <v>1150</v>
      </c>
      <c r="I802" s="5" t="s">
        <v>17</v>
      </c>
      <c r="J802" s="5">
        <v>76</v>
      </c>
      <c r="K802" s="30">
        <v>5</v>
      </c>
      <c r="L802" s="5">
        <v>391</v>
      </c>
      <c r="M802" s="31">
        <v>10</v>
      </c>
      <c r="N802" s="5">
        <v>59</v>
      </c>
      <c r="O802" s="5">
        <v>122000</v>
      </c>
      <c r="P802" s="5"/>
      <c r="Q802" s="5">
        <v>2</v>
      </c>
      <c r="R802" s="5">
        <v>6</v>
      </c>
      <c r="S802" s="5">
        <v>800</v>
      </c>
      <c r="T802" s="5" t="s">
        <v>48</v>
      </c>
      <c r="U802" s="5">
        <v>910</v>
      </c>
      <c r="V802" s="5">
        <v>10.199999999999999</v>
      </c>
      <c r="W802" s="5" t="s">
        <v>84</v>
      </c>
      <c r="X802" s="5">
        <v>56</v>
      </c>
      <c r="Y802" s="5">
        <v>1084</v>
      </c>
      <c r="Z802" s="5">
        <v>184</v>
      </c>
      <c r="AA802" s="5" t="s">
        <v>68</v>
      </c>
      <c r="AB802" s="5" t="s">
        <v>68</v>
      </c>
      <c r="AC802" s="5"/>
      <c r="AD802" s="5"/>
      <c r="AE802" s="5"/>
      <c r="AF802" s="5" t="s">
        <v>68</v>
      </c>
      <c r="AG802" s="5"/>
      <c r="AH802" s="5"/>
      <c r="AI802" s="5"/>
      <c r="AJ802" s="5"/>
      <c r="AK802" s="5"/>
      <c r="AL802" s="5"/>
      <c r="AM802" s="5"/>
      <c r="AN802" s="5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</row>
    <row r="803" spans="1:240" ht="30" customHeight="1">
      <c r="A803" s="5">
        <v>801</v>
      </c>
      <c r="B803" s="5" t="s">
        <v>68</v>
      </c>
      <c r="C803" s="5"/>
      <c r="D803" s="5"/>
      <c r="E803" s="5">
        <v>3850</v>
      </c>
      <c r="F803" s="5">
        <v>2200</v>
      </c>
      <c r="G803" s="5">
        <v>2090</v>
      </c>
      <c r="H803" s="5">
        <v>1290</v>
      </c>
      <c r="I803" s="5" t="s">
        <v>17</v>
      </c>
      <c r="J803" s="5">
        <v>82</v>
      </c>
      <c r="K803" s="30">
        <v>5</v>
      </c>
      <c r="L803" s="5">
        <v>422</v>
      </c>
      <c r="M803" s="31">
        <v>10</v>
      </c>
      <c r="N803" s="5">
        <v>57</v>
      </c>
      <c r="O803" s="5">
        <v>112000</v>
      </c>
      <c r="P803" s="5"/>
      <c r="Q803" s="5">
        <v>2</v>
      </c>
      <c r="R803" s="5">
        <v>6</v>
      </c>
      <c r="S803" s="5">
        <v>800</v>
      </c>
      <c r="T803" s="5" t="s">
        <v>48</v>
      </c>
      <c r="U803" s="5">
        <v>910</v>
      </c>
      <c r="V803" s="5">
        <v>10.199999999999999</v>
      </c>
      <c r="W803" s="5" t="s">
        <v>84</v>
      </c>
      <c r="X803" s="5">
        <v>56</v>
      </c>
      <c r="Y803" s="5">
        <v>1444</v>
      </c>
      <c r="Z803" s="5">
        <v>236</v>
      </c>
      <c r="AA803" s="5" t="s">
        <v>68</v>
      </c>
      <c r="AB803" s="5" t="s">
        <v>68</v>
      </c>
      <c r="AC803" s="5"/>
      <c r="AD803" s="5"/>
      <c r="AE803" s="5"/>
      <c r="AF803" s="5" t="s">
        <v>68</v>
      </c>
      <c r="AG803" s="5"/>
      <c r="AH803" s="5"/>
      <c r="AI803" s="5"/>
      <c r="AJ803" s="5"/>
      <c r="AK803" s="5"/>
      <c r="AL803" s="5"/>
      <c r="AM803" s="5"/>
      <c r="AN803" s="5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</row>
    <row r="804" spans="1:240" ht="30" customHeight="1">
      <c r="A804" s="5">
        <v>802</v>
      </c>
      <c r="B804" s="5" t="s">
        <v>68</v>
      </c>
      <c r="C804" s="5"/>
      <c r="D804" s="5"/>
      <c r="E804" s="5">
        <v>5100</v>
      </c>
      <c r="F804" s="5">
        <v>2200</v>
      </c>
      <c r="G804" s="5">
        <v>2105</v>
      </c>
      <c r="H804" s="5">
        <v>1550</v>
      </c>
      <c r="I804" s="5" t="s">
        <v>17</v>
      </c>
      <c r="J804" s="5">
        <v>102</v>
      </c>
      <c r="K804" s="30">
        <v>5</v>
      </c>
      <c r="L804" s="5">
        <v>525</v>
      </c>
      <c r="M804" s="31">
        <v>10</v>
      </c>
      <c r="N804" s="5">
        <v>58</v>
      </c>
      <c r="O804" s="5">
        <v>165000</v>
      </c>
      <c r="P804" s="5"/>
      <c r="Q804" s="5">
        <v>2</v>
      </c>
      <c r="R804" s="5">
        <v>8</v>
      </c>
      <c r="S804" s="5">
        <v>800</v>
      </c>
      <c r="T804" s="5" t="s">
        <v>48</v>
      </c>
      <c r="U804" s="5">
        <v>910</v>
      </c>
      <c r="V804" s="5">
        <v>13.6</v>
      </c>
      <c r="W804" s="5" t="s">
        <v>84</v>
      </c>
      <c r="X804" s="5">
        <v>57</v>
      </c>
      <c r="Y804" s="5">
        <v>1432</v>
      </c>
      <c r="Z804" s="5">
        <v>250</v>
      </c>
      <c r="AA804" s="5" t="s">
        <v>68</v>
      </c>
      <c r="AB804" s="5" t="s">
        <v>68</v>
      </c>
      <c r="AC804" s="5"/>
      <c r="AD804" s="5"/>
      <c r="AE804" s="5"/>
      <c r="AF804" s="5" t="s">
        <v>68</v>
      </c>
      <c r="AG804" s="5"/>
      <c r="AH804" s="5"/>
      <c r="AI804" s="5"/>
      <c r="AJ804" s="5"/>
      <c r="AK804" s="5"/>
      <c r="AL804" s="5"/>
      <c r="AM804" s="5"/>
      <c r="AN804" s="5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</row>
    <row r="805" spans="1:240" ht="30" customHeight="1">
      <c r="A805" s="5">
        <v>803</v>
      </c>
      <c r="B805" s="5" t="s">
        <v>68</v>
      </c>
      <c r="C805" s="5"/>
      <c r="D805" s="5"/>
      <c r="E805" s="5">
        <v>5100</v>
      </c>
      <c r="F805" s="5">
        <v>2200</v>
      </c>
      <c r="G805" s="5">
        <v>2105</v>
      </c>
      <c r="H805" s="5">
        <v>1700</v>
      </c>
      <c r="I805" s="5" t="s">
        <v>17</v>
      </c>
      <c r="J805" s="5">
        <v>110</v>
      </c>
      <c r="K805" s="30">
        <v>5</v>
      </c>
      <c r="L805" s="5">
        <v>569</v>
      </c>
      <c r="M805" s="31">
        <v>10</v>
      </c>
      <c r="N805" s="5">
        <v>61</v>
      </c>
      <c r="O805" s="5">
        <v>153000</v>
      </c>
      <c r="P805" s="5"/>
      <c r="Q805" s="5">
        <v>2</v>
      </c>
      <c r="R805" s="5">
        <v>8</v>
      </c>
      <c r="S805" s="5">
        <v>800</v>
      </c>
      <c r="T805" s="5" t="s">
        <v>48</v>
      </c>
      <c r="U805" s="5">
        <v>910</v>
      </c>
      <c r="V805" s="5">
        <v>13.6</v>
      </c>
      <c r="W805" s="5" t="s">
        <v>84</v>
      </c>
      <c r="X805" s="5">
        <v>57</v>
      </c>
      <c r="Y805" s="5">
        <v>1908</v>
      </c>
      <c r="Z805" s="5">
        <v>320</v>
      </c>
      <c r="AA805" s="5" t="s">
        <v>68</v>
      </c>
      <c r="AB805" s="5" t="s">
        <v>68</v>
      </c>
      <c r="AC805" s="5"/>
      <c r="AD805" s="5"/>
      <c r="AE805" s="5"/>
      <c r="AF805" s="5" t="s">
        <v>68</v>
      </c>
      <c r="AG805" s="5"/>
      <c r="AH805" s="5"/>
      <c r="AI805" s="5"/>
      <c r="AJ805" s="5"/>
      <c r="AK805" s="5"/>
      <c r="AL805" s="5"/>
      <c r="AM805" s="5"/>
      <c r="AN805" s="5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</row>
    <row r="806" spans="1:240" ht="30" customHeight="1">
      <c r="A806" s="5">
        <v>804</v>
      </c>
      <c r="B806" s="5" t="s">
        <v>68</v>
      </c>
      <c r="C806" s="5"/>
      <c r="D806" s="5"/>
      <c r="E806" s="5">
        <v>8100</v>
      </c>
      <c r="F806" s="5">
        <v>2200</v>
      </c>
      <c r="G806" s="5">
        <v>2105</v>
      </c>
      <c r="H806" s="5">
        <v>1850</v>
      </c>
      <c r="I806" s="5" t="s">
        <v>17</v>
      </c>
      <c r="J806" s="5">
        <v>131</v>
      </c>
      <c r="K806" s="30">
        <v>5</v>
      </c>
      <c r="L806" s="5">
        <v>674</v>
      </c>
      <c r="M806" s="31">
        <v>10</v>
      </c>
      <c r="N806" s="5">
        <v>63</v>
      </c>
      <c r="O806" s="5">
        <v>205000</v>
      </c>
      <c r="P806" s="5"/>
      <c r="Q806" s="5">
        <v>2</v>
      </c>
      <c r="R806" s="5">
        <v>10</v>
      </c>
      <c r="S806" s="5">
        <v>800</v>
      </c>
      <c r="T806" s="5" t="s">
        <v>48</v>
      </c>
      <c r="U806" s="5">
        <v>910</v>
      </c>
      <c r="V806" s="5">
        <v>17</v>
      </c>
      <c r="W806" s="5" t="s">
        <v>84</v>
      </c>
      <c r="X806" s="5">
        <v>58</v>
      </c>
      <c r="Y806" s="5">
        <f>Y800+Y802</f>
        <v>1964</v>
      </c>
      <c r="Z806" s="5">
        <f>Z800+Z802</f>
        <v>338</v>
      </c>
      <c r="AA806" s="5" t="s">
        <v>68</v>
      </c>
      <c r="AB806" s="5" t="s">
        <v>68</v>
      </c>
      <c r="AC806" s="5"/>
      <c r="AD806" s="5"/>
      <c r="AE806" s="5"/>
      <c r="AF806" s="5" t="s">
        <v>68</v>
      </c>
      <c r="AG806" s="5"/>
      <c r="AH806" s="5"/>
      <c r="AI806" s="5"/>
      <c r="AJ806" s="5"/>
      <c r="AK806" s="5"/>
      <c r="AL806" s="5"/>
      <c r="AM806" s="5"/>
      <c r="AN806" s="5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</row>
    <row r="807" spans="1:240" ht="30" customHeight="1">
      <c r="A807" s="5">
        <v>805</v>
      </c>
      <c r="B807" s="5" t="s">
        <v>68</v>
      </c>
      <c r="C807" s="5"/>
      <c r="D807" s="5"/>
      <c r="E807" s="5">
        <v>8100</v>
      </c>
      <c r="F807" s="5">
        <v>2200</v>
      </c>
      <c r="G807" s="5">
        <v>2105</v>
      </c>
      <c r="H807" s="5">
        <v>2100</v>
      </c>
      <c r="I807" s="5" t="s">
        <v>17</v>
      </c>
      <c r="J807" s="5">
        <v>143</v>
      </c>
      <c r="K807" s="30">
        <v>5</v>
      </c>
      <c r="L807" s="5">
        <v>736</v>
      </c>
      <c r="M807" s="31">
        <v>10</v>
      </c>
      <c r="N807" s="5">
        <v>69</v>
      </c>
      <c r="O807" s="5">
        <v>190000</v>
      </c>
      <c r="P807" s="5"/>
      <c r="Q807" s="5">
        <v>2</v>
      </c>
      <c r="R807" s="5">
        <v>10</v>
      </c>
      <c r="S807" s="5">
        <v>800</v>
      </c>
      <c r="T807" s="5" t="s">
        <v>48</v>
      </c>
      <c r="U807" s="5">
        <v>910</v>
      </c>
      <c r="V807" s="5">
        <v>17</v>
      </c>
      <c r="W807" s="5" t="s">
        <v>84</v>
      </c>
      <c r="X807" s="5">
        <v>58</v>
      </c>
      <c r="Y807" s="5">
        <f>Y801+Y803</f>
        <v>2616</v>
      </c>
      <c r="Z807" s="5">
        <f>Z801+Z803</f>
        <v>430</v>
      </c>
      <c r="AA807" s="5" t="s">
        <v>68</v>
      </c>
      <c r="AB807" s="5" t="s">
        <v>68</v>
      </c>
      <c r="AC807" s="5"/>
      <c r="AD807" s="5"/>
      <c r="AE807" s="5"/>
      <c r="AF807" s="5" t="s">
        <v>68</v>
      </c>
      <c r="AG807" s="5"/>
      <c r="AH807" s="5"/>
      <c r="AI807" s="5"/>
      <c r="AJ807" s="5"/>
      <c r="AK807" s="5"/>
      <c r="AL807" s="5"/>
      <c r="AM807" s="5"/>
      <c r="AN807" s="5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</row>
    <row r="808" spans="1:240" ht="30" customHeight="1">
      <c r="A808" s="5">
        <v>806</v>
      </c>
      <c r="B808" s="5" t="s">
        <v>68</v>
      </c>
      <c r="C808" s="5"/>
      <c r="D808" s="5"/>
      <c r="E808" s="5">
        <v>8700</v>
      </c>
      <c r="F808" s="5">
        <v>2200</v>
      </c>
      <c r="G808" s="5">
        <v>2105</v>
      </c>
      <c r="H808" s="5">
        <v>2140</v>
      </c>
      <c r="I808" s="5" t="s">
        <v>17</v>
      </c>
      <c r="J808" s="5">
        <v>152</v>
      </c>
      <c r="K808" s="30">
        <v>5</v>
      </c>
      <c r="L808" s="5">
        <v>782</v>
      </c>
      <c r="M808" s="31">
        <v>10</v>
      </c>
      <c r="N808" s="5">
        <v>59</v>
      </c>
      <c r="O808" s="5">
        <v>242000</v>
      </c>
      <c r="P808" s="5"/>
      <c r="Q808" s="5">
        <v>2</v>
      </c>
      <c r="R808" s="5">
        <v>12</v>
      </c>
      <c r="S808" s="5">
        <v>800</v>
      </c>
      <c r="T808" s="5" t="s">
        <v>48</v>
      </c>
      <c r="U808" s="5">
        <v>910</v>
      </c>
      <c r="V808" s="5">
        <v>20.399999999999999</v>
      </c>
      <c r="W808" s="5" t="s">
        <v>84</v>
      </c>
      <c r="X808" s="5">
        <v>59</v>
      </c>
      <c r="Y808" s="5">
        <f>Y802+Y802</f>
        <v>2168</v>
      </c>
      <c r="Z808" s="5">
        <f>Z802+Z802</f>
        <v>368</v>
      </c>
      <c r="AA808" s="5" t="s">
        <v>68</v>
      </c>
      <c r="AB808" s="5" t="s">
        <v>68</v>
      </c>
      <c r="AC808" s="5"/>
      <c r="AD808" s="5"/>
      <c r="AE808" s="5"/>
      <c r="AF808" s="5" t="s">
        <v>68</v>
      </c>
      <c r="AG808" s="5"/>
      <c r="AH808" s="5"/>
      <c r="AI808" s="5"/>
      <c r="AJ808" s="5"/>
      <c r="AK808" s="5"/>
      <c r="AL808" s="5"/>
      <c r="AM808" s="5"/>
      <c r="AN808" s="5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</row>
    <row r="809" spans="1:240" ht="30" customHeight="1">
      <c r="A809" s="5">
        <v>807</v>
      </c>
      <c r="B809" s="5" t="s">
        <v>68</v>
      </c>
      <c r="C809" s="5"/>
      <c r="D809" s="5"/>
      <c r="E809" s="5">
        <v>8700</v>
      </c>
      <c r="F809" s="5">
        <v>2200</v>
      </c>
      <c r="G809" s="5">
        <v>2105</v>
      </c>
      <c r="H809" s="5">
        <v>2420</v>
      </c>
      <c r="I809" s="5" t="s">
        <v>17</v>
      </c>
      <c r="J809" s="5">
        <v>164</v>
      </c>
      <c r="K809" s="30">
        <v>5</v>
      </c>
      <c r="L809" s="5">
        <v>844</v>
      </c>
      <c r="M809" s="31">
        <v>10</v>
      </c>
      <c r="N809" s="5">
        <v>57</v>
      </c>
      <c r="O809" s="5">
        <v>222000</v>
      </c>
      <c r="P809" s="5"/>
      <c r="Q809" s="5">
        <v>2</v>
      </c>
      <c r="R809" s="5">
        <v>12</v>
      </c>
      <c r="S809" s="5">
        <v>800</v>
      </c>
      <c r="T809" s="5" t="s">
        <v>48</v>
      </c>
      <c r="U809" s="5">
        <v>910</v>
      </c>
      <c r="V809" s="5">
        <v>20.399999999999999</v>
      </c>
      <c r="W809" s="5" t="s">
        <v>84</v>
      </c>
      <c r="X809" s="5">
        <v>59</v>
      </c>
      <c r="Y809" s="5">
        <f>Y803+Y803</f>
        <v>2888</v>
      </c>
      <c r="Z809" s="5">
        <f>Z803+Z803</f>
        <v>472</v>
      </c>
      <c r="AA809" s="5" t="s">
        <v>68</v>
      </c>
      <c r="AB809" s="5" t="s">
        <v>68</v>
      </c>
      <c r="AC809" s="5"/>
      <c r="AD809" s="5"/>
      <c r="AE809" s="5"/>
      <c r="AF809" s="5" t="s">
        <v>68</v>
      </c>
      <c r="AG809" s="5"/>
      <c r="AH809" s="5"/>
      <c r="AI809" s="5"/>
      <c r="AJ809" s="5"/>
      <c r="AK809" s="5"/>
      <c r="AL809" s="5"/>
      <c r="AM809" s="5"/>
      <c r="AN809" s="5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</row>
    <row r="810" spans="1:240" ht="30" customHeight="1">
      <c r="A810" s="5">
        <v>808</v>
      </c>
      <c r="B810" s="5" t="s">
        <v>68</v>
      </c>
      <c r="C810" s="5"/>
      <c r="D810" s="5"/>
      <c r="E810" s="5">
        <v>9950</v>
      </c>
      <c r="F810" s="5">
        <v>2200</v>
      </c>
      <c r="G810" s="5">
        <v>2105</v>
      </c>
      <c r="H810" s="5">
        <v>2440</v>
      </c>
      <c r="I810" s="5" t="s">
        <v>17</v>
      </c>
      <c r="J810" s="5">
        <v>178</v>
      </c>
      <c r="K810" s="30">
        <v>5</v>
      </c>
      <c r="L810" s="5">
        <v>916</v>
      </c>
      <c r="M810" s="31">
        <v>10</v>
      </c>
      <c r="N810" s="5">
        <v>58</v>
      </c>
      <c r="O810" s="5">
        <v>282000</v>
      </c>
      <c r="P810" s="5"/>
      <c r="Q810" s="5">
        <v>2</v>
      </c>
      <c r="R810" s="5">
        <v>14</v>
      </c>
      <c r="S810" s="5">
        <v>800</v>
      </c>
      <c r="T810" s="5" t="s">
        <v>48</v>
      </c>
      <c r="U810" s="5">
        <v>910</v>
      </c>
      <c r="V810" s="5">
        <v>23.8</v>
      </c>
      <c r="W810" s="5" t="s">
        <v>84</v>
      </c>
      <c r="X810" s="5">
        <v>59</v>
      </c>
      <c r="Y810" s="5">
        <f>Y802+Y804</f>
        <v>2516</v>
      </c>
      <c r="Z810" s="5">
        <f>Z802+Z804</f>
        <v>434</v>
      </c>
      <c r="AA810" s="5" t="s">
        <v>68</v>
      </c>
      <c r="AB810" s="5" t="s">
        <v>68</v>
      </c>
      <c r="AC810" s="5"/>
      <c r="AD810" s="5"/>
      <c r="AE810" s="5"/>
      <c r="AF810" s="5" t="s">
        <v>68</v>
      </c>
      <c r="AG810" s="5"/>
      <c r="AH810" s="5"/>
      <c r="AI810" s="5"/>
      <c r="AJ810" s="5"/>
      <c r="AK810" s="5"/>
      <c r="AL810" s="5"/>
      <c r="AM810" s="5"/>
      <c r="AN810" s="5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</row>
    <row r="811" spans="1:240" ht="30" customHeight="1">
      <c r="A811" s="5">
        <v>809</v>
      </c>
      <c r="B811" s="5" t="s">
        <v>68</v>
      </c>
      <c r="C811" s="5"/>
      <c r="D811" s="5"/>
      <c r="E811" s="5">
        <v>9950</v>
      </c>
      <c r="F811" s="5">
        <v>2200</v>
      </c>
      <c r="G811" s="5">
        <v>2105</v>
      </c>
      <c r="H811" s="5">
        <v>2760</v>
      </c>
      <c r="I811" s="5" t="s">
        <v>17</v>
      </c>
      <c r="J811" s="5">
        <v>192</v>
      </c>
      <c r="K811" s="30">
        <v>5</v>
      </c>
      <c r="L811" s="5">
        <v>991</v>
      </c>
      <c r="M811" s="31">
        <v>10</v>
      </c>
      <c r="N811" s="5">
        <v>61</v>
      </c>
      <c r="O811" s="5">
        <v>258000</v>
      </c>
      <c r="P811" s="5"/>
      <c r="Q811" s="5">
        <v>2</v>
      </c>
      <c r="R811" s="5">
        <v>14</v>
      </c>
      <c r="S811" s="5">
        <v>800</v>
      </c>
      <c r="T811" s="5" t="s">
        <v>48</v>
      </c>
      <c r="U811" s="5">
        <v>910</v>
      </c>
      <c r="V811" s="5">
        <v>23.8</v>
      </c>
      <c r="W811" s="5" t="s">
        <v>84</v>
      </c>
      <c r="X811" s="5">
        <v>59</v>
      </c>
      <c r="Y811" s="5">
        <f>Y803+Y805</f>
        <v>3352</v>
      </c>
      <c r="Z811" s="5">
        <f>Z803+Z805</f>
        <v>556</v>
      </c>
      <c r="AA811" s="5" t="s">
        <v>68</v>
      </c>
      <c r="AB811" s="5" t="s">
        <v>68</v>
      </c>
      <c r="AC811" s="5"/>
      <c r="AD811" s="5"/>
      <c r="AE811" s="5"/>
      <c r="AF811" s="5" t="s">
        <v>68</v>
      </c>
      <c r="AG811" s="5"/>
      <c r="AH811" s="5"/>
      <c r="AI811" s="5"/>
      <c r="AJ811" s="5"/>
      <c r="AK811" s="5"/>
      <c r="AL811" s="5"/>
      <c r="AM811" s="5"/>
      <c r="AN811" s="5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</row>
    <row r="812" spans="1:240" ht="30" customHeight="1">
      <c r="A812" s="5">
        <v>810</v>
      </c>
      <c r="B812" s="5" t="s">
        <v>68</v>
      </c>
      <c r="C812" s="5"/>
      <c r="D812" s="5"/>
      <c r="E812" s="5">
        <v>11200</v>
      </c>
      <c r="F812" s="5">
        <v>2200</v>
      </c>
      <c r="G812" s="5">
        <v>2105</v>
      </c>
      <c r="H812" s="5">
        <v>2750</v>
      </c>
      <c r="I812" s="5" t="s">
        <v>17</v>
      </c>
      <c r="J812" s="5">
        <v>204</v>
      </c>
      <c r="K812" s="30">
        <v>5</v>
      </c>
      <c r="L812" s="5">
        <v>1050</v>
      </c>
      <c r="M812" s="31">
        <v>10</v>
      </c>
      <c r="N812" s="5">
        <v>58</v>
      </c>
      <c r="O812" s="5">
        <v>324000</v>
      </c>
      <c r="P812" s="5"/>
      <c r="Q812" s="5">
        <v>2</v>
      </c>
      <c r="R812" s="5">
        <v>16</v>
      </c>
      <c r="S812" s="5">
        <v>800</v>
      </c>
      <c r="T812" s="5" t="s">
        <v>48</v>
      </c>
      <c r="U812" s="5">
        <v>910</v>
      </c>
      <c r="V812" s="5">
        <v>27.2</v>
      </c>
      <c r="W812" s="5" t="s">
        <v>84</v>
      </c>
      <c r="X812" s="5">
        <v>60</v>
      </c>
      <c r="Y812" s="5">
        <f>Y804+Y804</f>
        <v>2864</v>
      </c>
      <c r="Z812" s="5">
        <f>Z804+Z804</f>
        <v>500</v>
      </c>
      <c r="AA812" s="5" t="s">
        <v>68</v>
      </c>
      <c r="AB812" s="5" t="s">
        <v>68</v>
      </c>
      <c r="AC812" s="5"/>
      <c r="AD812" s="5"/>
      <c r="AE812" s="5"/>
      <c r="AF812" s="5" t="s">
        <v>68</v>
      </c>
      <c r="AG812" s="5"/>
      <c r="AH812" s="5"/>
      <c r="AI812" s="5"/>
      <c r="AJ812" s="5"/>
      <c r="AK812" s="5"/>
      <c r="AL812" s="5"/>
      <c r="AM812" s="5"/>
      <c r="AN812" s="5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</row>
    <row r="813" spans="1:240" ht="30" customHeight="1">
      <c r="A813" s="5">
        <v>811</v>
      </c>
      <c r="B813" s="5" t="s">
        <v>68</v>
      </c>
      <c r="C813" s="5"/>
      <c r="D813" s="5"/>
      <c r="E813" s="5">
        <v>11200</v>
      </c>
      <c r="F813" s="5">
        <v>2200</v>
      </c>
      <c r="G813" s="5">
        <v>2105</v>
      </c>
      <c r="H813" s="5">
        <v>3100</v>
      </c>
      <c r="I813" s="5" t="s">
        <v>17</v>
      </c>
      <c r="J813" s="5">
        <v>220</v>
      </c>
      <c r="K813" s="30">
        <v>5</v>
      </c>
      <c r="L813" s="5">
        <v>1138</v>
      </c>
      <c r="M813" s="31">
        <v>10</v>
      </c>
      <c r="N813" s="5">
        <v>61</v>
      </c>
      <c r="O813" s="5">
        <v>296000</v>
      </c>
      <c r="P813" s="5"/>
      <c r="Q813" s="5">
        <v>2</v>
      </c>
      <c r="R813" s="5">
        <v>16</v>
      </c>
      <c r="S813" s="5">
        <v>800</v>
      </c>
      <c r="T813" s="5" t="s">
        <v>48</v>
      </c>
      <c r="U813" s="5">
        <v>910</v>
      </c>
      <c r="V813" s="5">
        <v>27.2</v>
      </c>
      <c r="W813" s="5" t="s">
        <v>84</v>
      </c>
      <c r="X813" s="5">
        <v>60</v>
      </c>
      <c r="Y813" s="5">
        <f>Y805+Y805</f>
        <v>3816</v>
      </c>
      <c r="Z813" s="5">
        <f>Z805+Z805</f>
        <v>640</v>
      </c>
      <c r="AA813" s="5" t="s">
        <v>68</v>
      </c>
      <c r="AB813" s="5" t="s">
        <v>68</v>
      </c>
      <c r="AC813" s="5"/>
      <c r="AD813" s="5"/>
      <c r="AE813" s="5"/>
      <c r="AF813" s="5" t="s">
        <v>68</v>
      </c>
      <c r="AG813" s="5"/>
      <c r="AH813" s="5"/>
      <c r="AI813" s="5"/>
      <c r="AJ813" s="5"/>
      <c r="AK813" s="5"/>
      <c r="AL813" s="5"/>
      <c r="AM813" s="5"/>
      <c r="AN813" s="5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</row>
    <row r="814" spans="1:240" ht="30" customHeight="1">
      <c r="A814" s="5">
        <v>812</v>
      </c>
      <c r="B814" s="5" t="s">
        <v>68</v>
      </c>
      <c r="C814" s="5"/>
      <c r="D814" s="5"/>
      <c r="E814" s="5">
        <v>760</v>
      </c>
      <c r="F814" s="5">
        <v>560</v>
      </c>
      <c r="G814" s="5">
        <v>690</v>
      </c>
      <c r="H814" s="5">
        <v>19.7</v>
      </c>
      <c r="I814" s="5" t="s">
        <v>17</v>
      </c>
      <c r="J814" s="5">
        <v>0.9</v>
      </c>
      <c r="K814" s="30">
        <v>5</v>
      </c>
      <c r="L814" s="5">
        <v>4.5999999999999996</v>
      </c>
      <c r="M814" s="31">
        <v>10</v>
      </c>
      <c r="N814" s="5">
        <v>51</v>
      </c>
      <c r="O814" s="5">
        <v>2500</v>
      </c>
      <c r="P814" s="5"/>
      <c r="Q814" s="5"/>
      <c r="R814" s="5">
        <v>1</v>
      </c>
      <c r="S814" s="5">
        <v>350</v>
      </c>
      <c r="T814" s="5" t="s">
        <v>48</v>
      </c>
      <c r="U814" s="5">
        <v>1400</v>
      </c>
      <c r="V814" s="5">
        <v>0.13</v>
      </c>
      <c r="W814" s="5" t="s">
        <v>18</v>
      </c>
      <c r="X814" s="5">
        <v>36</v>
      </c>
      <c r="Y814" s="5" t="s">
        <v>48</v>
      </c>
      <c r="Z814" s="5">
        <v>1.75</v>
      </c>
      <c r="AA814" s="5" t="s">
        <v>68</v>
      </c>
      <c r="AB814" s="5"/>
      <c r="AC814" s="5"/>
      <c r="AD814" s="5"/>
      <c r="AE814" s="5"/>
      <c r="AF814" s="5" t="s">
        <v>68</v>
      </c>
      <c r="AG814" s="5"/>
      <c r="AH814" s="5"/>
      <c r="AI814" s="5"/>
      <c r="AJ814" s="5"/>
      <c r="AK814" s="5"/>
      <c r="AL814" s="5"/>
      <c r="AM814" s="5"/>
      <c r="AN814" s="5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</row>
    <row r="815" spans="1:240" ht="30" customHeight="1">
      <c r="A815" s="5">
        <v>813</v>
      </c>
      <c r="B815" s="5" t="s">
        <v>68</v>
      </c>
      <c r="C815" s="5"/>
      <c r="D815" s="5"/>
      <c r="E815" s="5">
        <v>760</v>
      </c>
      <c r="F815" s="5">
        <v>560</v>
      </c>
      <c r="G815" s="5">
        <v>690</v>
      </c>
      <c r="H815" s="5">
        <v>21.9</v>
      </c>
      <c r="I815" s="5" t="s">
        <v>17</v>
      </c>
      <c r="J815" s="5">
        <v>1.2</v>
      </c>
      <c r="K815" s="30">
        <v>5</v>
      </c>
      <c r="L815" s="5">
        <v>6</v>
      </c>
      <c r="M815" s="31">
        <v>10</v>
      </c>
      <c r="N815" s="5">
        <v>54</v>
      </c>
      <c r="O815" s="5">
        <v>2200</v>
      </c>
      <c r="P815" s="5"/>
      <c r="Q815" s="5"/>
      <c r="R815" s="5">
        <v>1</v>
      </c>
      <c r="S815" s="5">
        <v>350</v>
      </c>
      <c r="T815" s="5" t="s">
        <v>48</v>
      </c>
      <c r="U815" s="5">
        <v>1400</v>
      </c>
      <c r="V815" s="5">
        <v>0.13</v>
      </c>
      <c r="W815" s="5" t="s">
        <v>18</v>
      </c>
      <c r="X815" s="5">
        <v>36</v>
      </c>
      <c r="Y815" s="5" t="s">
        <v>48</v>
      </c>
      <c r="Z815" s="5">
        <v>2.63</v>
      </c>
      <c r="AA815" s="5" t="s">
        <v>68</v>
      </c>
      <c r="AB815" s="5"/>
      <c r="AC815" s="5"/>
      <c r="AD815" s="5"/>
      <c r="AE815" s="5"/>
      <c r="AF815" s="5" t="s">
        <v>68</v>
      </c>
      <c r="AG815" s="5"/>
      <c r="AH815" s="5"/>
      <c r="AI815" s="5"/>
      <c r="AJ815" s="5"/>
      <c r="AK815" s="5"/>
      <c r="AL815" s="5"/>
      <c r="AM815" s="5"/>
      <c r="AN815" s="5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</row>
    <row r="816" spans="1:240" ht="30" customHeight="1">
      <c r="A816" s="5">
        <v>814</v>
      </c>
      <c r="B816" s="5" t="s">
        <v>68</v>
      </c>
      <c r="C816" s="5"/>
      <c r="D816" s="5"/>
      <c r="E816" s="5">
        <v>760</v>
      </c>
      <c r="F816" s="5">
        <v>560</v>
      </c>
      <c r="G816" s="5">
        <v>690</v>
      </c>
      <c r="H816" s="5">
        <v>24.3</v>
      </c>
      <c r="I816" s="5" t="s">
        <v>17</v>
      </c>
      <c r="J816" s="5">
        <v>1.4</v>
      </c>
      <c r="K816" s="30">
        <v>5</v>
      </c>
      <c r="L816" s="5">
        <v>7.4</v>
      </c>
      <c r="M816" s="31">
        <v>10</v>
      </c>
      <c r="N816" s="5">
        <v>56</v>
      </c>
      <c r="O816" s="5">
        <v>2400</v>
      </c>
      <c r="P816" s="5"/>
      <c r="Q816" s="5"/>
      <c r="R816" s="5">
        <v>1</v>
      </c>
      <c r="S816" s="5">
        <v>350</v>
      </c>
      <c r="T816" s="5" t="s">
        <v>48</v>
      </c>
      <c r="U816" s="5">
        <v>1400</v>
      </c>
      <c r="V816" s="5">
        <v>0.13</v>
      </c>
      <c r="W816" s="5" t="s">
        <v>18</v>
      </c>
      <c r="X816" s="5">
        <v>36</v>
      </c>
      <c r="Y816" s="5" t="s">
        <v>48</v>
      </c>
      <c r="Z816" s="5">
        <v>3.51</v>
      </c>
      <c r="AA816" s="5" t="s">
        <v>68</v>
      </c>
      <c r="AB816" s="5"/>
      <c r="AC816" s="5"/>
      <c r="AD816" s="5"/>
      <c r="AE816" s="5"/>
      <c r="AF816" s="5" t="s">
        <v>68</v>
      </c>
      <c r="AG816" s="5"/>
      <c r="AH816" s="5"/>
      <c r="AI816" s="5"/>
      <c r="AJ816" s="5"/>
      <c r="AK816" s="5"/>
      <c r="AL816" s="5"/>
      <c r="AM816" s="5"/>
      <c r="AN816" s="5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</row>
    <row r="817" spans="1:240" ht="30" customHeight="1">
      <c r="A817" s="5">
        <v>815</v>
      </c>
      <c r="B817" s="5" t="s">
        <v>68</v>
      </c>
      <c r="C817" s="5"/>
      <c r="D817" s="5"/>
      <c r="E817" s="5">
        <v>1310</v>
      </c>
      <c r="F817" s="5">
        <v>560</v>
      </c>
      <c r="G817" s="5">
        <v>690</v>
      </c>
      <c r="H817" s="5">
        <v>30.6</v>
      </c>
      <c r="I817" s="5" t="s">
        <v>17</v>
      </c>
      <c r="J817" s="5">
        <v>1.8</v>
      </c>
      <c r="K817" s="30">
        <v>5</v>
      </c>
      <c r="L817" s="5">
        <v>9.1999999999999993</v>
      </c>
      <c r="M817" s="31">
        <v>10</v>
      </c>
      <c r="N817" s="5">
        <v>37</v>
      </c>
      <c r="O817" s="5">
        <v>5000</v>
      </c>
      <c r="P817" s="5"/>
      <c r="Q817" s="5"/>
      <c r="R817" s="5">
        <v>2</v>
      </c>
      <c r="S817" s="5">
        <v>350</v>
      </c>
      <c r="T817" s="5" t="s">
        <v>48</v>
      </c>
      <c r="U817" s="5">
        <v>1400</v>
      </c>
      <c r="V817" s="5">
        <v>0.26</v>
      </c>
      <c r="W817" s="5" t="s">
        <v>18</v>
      </c>
      <c r="X817" s="5">
        <v>39</v>
      </c>
      <c r="Y817" s="5" t="s">
        <v>48</v>
      </c>
      <c r="Z817" s="5">
        <v>3.39</v>
      </c>
      <c r="AA817" s="5" t="s">
        <v>68</v>
      </c>
      <c r="AB817" s="5"/>
      <c r="AC817" s="5"/>
      <c r="AD817" s="5"/>
      <c r="AE817" s="5"/>
      <c r="AF817" s="5" t="s">
        <v>68</v>
      </c>
      <c r="AG817" s="5"/>
      <c r="AH817" s="5"/>
      <c r="AI817" s="5"/>
      <c r="AJ817" s="5"/>
      <c r="AK817" s="5"/>
      <c r="AL817" s="5"/>
      <c r="AM817" s="5"/>
      <c r="AN817" s="5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</row>
    <row r="818" spans="1:240" ht="30" customHeight="1">
      <c r="A818" s="5">
        <v>816</v>
      </c>
      <c r="B818" s="5" t="s">
        <v>68</v>
      </c>
      <c r="C818" s="5"/>
      <c r="D818" s="5"/>
      <c r="E818" s="5">
        <v>1310</v>
      </c>
      <c r="F818" s="5">
        <v>560</v>
      </c>
      <c r="G818" s="5">
        <v>690</v>
      </c>
      <c r="H818" s="5">
        <v>35</v>
      </c>
      <c r="I818" s="5" t="s">
        <v>17</v>
      </c>
      <c r="J818" s="5">
        <v>2.2999999999999998</v>
      </c>
      <c r="K818" s="30">
        <v>5</v>
      </c>
      <c r="L818" s="5">
        <v>12</v>
      </c>
      <c r="M818" s="31">
        <v>10</v>
      </c>
      <c r="N818" s="5">
        <v>39</v>
      </c>
      <c r="O818" s="5">
        <v>4400</v>
      </c>
      <c r="P818" s="5"/>
      <c r="Q818" s="5"/>
      <c r="R818" s="5">
        <v>2</v>
      </c>
      <c r="S818" s="5">
        <v>350</v>
      </c>
      <c r="T818" s="5" t="s">
        <v>48</v>
      </c>
      <c r="U818" s="5">
        <v>1400</v>
      </c>
      <c r="V818" s="5">
        <v>0.26</v>
      </c>
      <c r="W818" s="5" t="s">
        <v>18</v>
      </c>
      <c r="X818" s="5">
        <v>39</v>
      </c>
      <c r="Y818" s="5" t="s">
        <v>48</v>
      </c>
      <c r="Z818" s="5">
        <v>5.09</v>
      </c>
      <c r="AA818" s="5" t="s">
        <v>68</v>
      </c>
      <c r="AB818" s="5"/>
      <c r="AC818" s="5"/>
      <c r="AD818" s="5"/>
      <c r="AE818" s="5"/>
      <c r="AF818" s="5" t="s">
        <v>68</v>
      </c>
      <c r="AG818" s="5"/>
      <c r="AH818" s="5"/>
      <c r="AI818" s="5"/>
      <c r="AJ818" s="5"/>
      <c r="AK818" s="5"/>
      <c r="AL818" s="5"/>
      <c r="AM818" s="5"/>
      <c r="AN818" s="5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</row>
    <row r="819" spans="1:240" ht="30" customHeight="1">
      <c r="A819" s="5">
        <v>817</v>
      </c>
      <c r="B819" s="5" t="s">
        <v>68</v>
      </c>
      <c r="C819" s="5"/>
      <c r="D819" s="5"/>
      <c r="E819" s="5">
        <v>1310</v>
      </c>
      <c r="F819" s="5">
        <v>560</v>
      </c>
      <c r="G819" s="5">
        <v>690</v>
      </c>
      <c r="H819" s="5">
        <v>39.299999999999997</v>
      </c>
      <c r="I819" s="5" t="s">
        <v>17</v>
      </c>
      <c r="J819" s="5">
        <v>2.9</v>
      </c>
      <c r="K819" s="30">
        <v>5</v>
      </c>
      <c r="L819" s="5">
        <v>15</v>
      </c>
      <c r="M819" s="31">
        <v>10</v>
      </c>
      <c r="N819" s="5">
        <v>38</v>
      </c>
      <c r="O819" s="5">
        <v>4800</v>
      </c>
      <c r="P819" s="5"/>
      <c r="Q819" s="5"/>
      <c r="R819" s="5">
        <v>2</v>
      </c>
      <c r="S819" s="5">
        <v>350</v>
      </c>
      <c r="T819" s="5" t="s">
        <v>48</v>
      </c>
      <c r="U819" s="5">
        <v>1400</v>
      </c>
      <c r="V819" s="5">
        <v>0.26</v>
      </c>
      <c r="W819" s="5" t="s">
        <v>18</v>
      </c>
      <c r="X819" s="5">
        <v>39</v>
      </c>
      <c r="Y819" s="5" t="s">
        <v>48</v>
      </c>
      <c r="Z819" s="5">
        <v>6.78</v>
      </c>
      <c r="AA819" s="5" t="s">
        <v>68</v>
      </c>
      <c r="AB819" s="5"/>
      <c r="AC819" s="5"/>
      <c r="AD819" s="5"/>
      <c r="AE819" s="5"/>
      <c r="AF819" s="5" t="s">
        <v>68</v>
      </c>
      <c r="AG819" s="5"/>
      <c r="AH819" s="5"/>
      <c r="AI819" s="5"/>
      <c r="AJ819" s="5"/>
      <c r="AK819" s="5"/>
      <c r="AL819" s="5"/>
      <c r="AM819" s="5"/>
      <c r="AN819" s="5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</row>
    <row r="820" spans="1:240" ht="30" customHeight="1">
      <c r="A820" s="5">
        <v>818</v>
      </c>
      <c r="B820" s="5" t="s">
        <v>68</v>
      </c>
      <c r="C820" s="5"/>
      <c r="D820" s="5"/>
      <c r="E820" s="5">
        <v>1860</v>
      </c>
      <c r="F820" s="5">
        <v>560</v>
      </c>
      <c r="G820" s="5">
        <v>690</v>
      </c>
      <c r="H820" s="5">
        <v>41.5</v>
      </c>
      <c r="I820" s="5" t="s">
        <v>17</v>
      </c>
      <c r="J820" s="5">
        <v>2.8</v>
      </c>
      <c r="K820" s="30">
        <v>5</v>
      </c>
      <c r="L820" s="5">
        <v>14</v>
      </c>
      <c r="M820" s="31">
        <v>10</v>
      </c>
      <c r="N820" s="5">
        <v>43</v>
      </c>
      <c r="O820" s="5">
        <v>7500</v>
      </c>
      <c r="P820" s="5"/>
      <c r="Q820" s="5"/>
      <c r="R820" s="5">
        <v>3</v>
      </c>
      <c r="S820" s="5">
        <v>350</v>
      </c>
      <c r="T820" s="5" t="s">
        <v>48</v>
      </c>
      <c r="U820" s="5">
        <v>1400</v>
      </c>
      <c r="V820" s="5">
        <v>0.39</v>
      </c>
      <c r="W820" s="5" t="s">
        <v>18</v>
      </c>
      <c r="X820" s="5">
        <v>41</v>
      </c>
      <c r="Y820" s="5" t="s">
        <v>48</v>
      </c>
      <c r="Z820" s="5">
        <v>5.03</v>
      </c>
      <c r="AA820" s="5" t="s">
        <v>68</v>
      </c>
      <c r="AB820" s="5"/>
      <c r="AC820" s="5"/>
      <c r="AD820" s="5"/>
      <c r="AE820" s="5"/>
      <c r="AF820" s="5" t="s">
        <v>68</v>
      </c>
      <c r="AG820" s="5"/>
      <c r="AH820" s="5"/>
      <c r="AI820" s="5"/>
      <c r="AJ820" s="5"/>
      <c r="AK820" s="5"/>
      <c r="AL820" s="5"/>
      <c r="AM820" s="5"/>
      <c r="AN820" s="5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</row>
    <row r="821" spans="1:240" ht="30" customHeight="1">
      <c r="A821" s="5">
        <v>819</v>
      </c>
      <c r="B821" s="5" t="s">
        <v>68</v>
      </c>
      <c r="C821" s="5"/>
      <c r="D821" s="5"/>
      <c r="E821" s="5">
        <v>1860</v>
      </c>
      <c r="F821" s="5">
        <v>560</v>
      </c>
      <c r="G821" s="5">
        <v>690</v>
      </c>
      <c r="H821" s="5">
        <v>47.8</v>
      </c>
      <c r="I821" s="5" t="s">
        <v>17</v>
      </c>
      <c r="J821" s="5">
        <v>3.5</v>
      </c>
      <c r="K821" s="30">
        <v>5</v>
      </c>
      <c r="L821" s="5">
        <v>18</v>
      </c>
      <c r="M821" s="31">
        <v>10</v>
      </c>
      <c r="N821" s="5">
        <v>45</v>
      </c>
      <c r="O821" s="5">
        <v>6600</v>
      </c>
      <c r="P821" s="5"/>
      <c r="Q821" s="5"/>
      <c r="R821" s="5">
        <v>3</v>
      </c>
      <c r="S821" s="5">
        <v>350</v>
      </c>
      <c r="T821" s="5" t="s">
        <v>48</v>
      </c>
      <c r="U821" s="5">
        <v>1400</v>
      </c>
      <c r="V821" s="5">
        <v>0.39</v>
      </c>
      <c r="W821" s="5" t="s">
        <v>18</v>
      </c>
      <c r="X821" s="5">
        <v>41</v>
      </c>
      <c r="Y821" s="5" t="s">
        <v>48</v>
      </c>
      <c r="Z821" s="5">
        <v>7.54</v>
      </c>
      <c r="AA821" s="5" t="s">
        <v>68</v>
      </c>
      <c r="AB821" s="5"/>
      <c r="AC821" s="5"/>
      <c r="AD821" s="5"/>
      <c r="AE821" s="5"/>
      <c r="AF821" s="5" t="s">
        <v>68</v>
      </c>
      <c r="AG821" s="5"/>
      <c r="AH821" s="5"/>
      <c r="AI821" s="5"/>
      <c r="AJ821" s="5"/>
      <c r="AK821" s="5"/>
      <c r="AL821" s="5"/>
      <c r="AM821" s="5"/>
      <c r="AN821" s="5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</row>
    <row r="822" spans="1:240" ht="30" customHeight="1">
      <c r="A822" s="5">
        <v>820</v>
      </c>
      <c r="B822" s="5" t="s">
        <v>68</v>
      </c>
      <c r="C822" s="5"/>
      <c r="D822" s="5"/>
      <c r="E822" s="5">
        <v>1860</v>
      </c>
      <c r="F822" s="5">
        <v>560</v>
      </c>
      <c r="G822" s="5">
        <v>690</v>
      </c>
      <c r="H822" s="5">
        <v>54.3</v>
      </c>
      <c r="I822" s="5" t="s">
        <v>17</v>
      </c>
      <c r="J822" s="5">
        <v>4.3</v>
      </c>
      <c r="K822" s="30">
        <v>5</v>
      </c>
      <c r="L822" s="5">
        <v>22</v>
      </c>
      <c r="M822" s="31">
        <v>10</v>
      </c>
      <c r="N822" s="5">
        <v>43</v>
      </c>
      <c r="O822" s="5">
        <v>7200</v>
      </c>
      <c r="P822" s="5"/>
      <c r="Q822" s="5"/>
      <c r="R822" s="5">
        <v>3</v>
      </c>
      <c r="S822" s="5">
        <v>350</v>
      </c>
      <c r="T822" s="5" t="s">
        <v>48</v>
      </c>
      <c r="U822" s="5">
        <v>1400</v>
      </c>
      <c r="V822" s="5">
        <v>0.39</v>
      </c>
      <c r="W822" s="5" t="s">
        <v>18</v>
      </c>
      <c r="X822" s="5">
        <v>41</v>
      </c>
      <c r="Y822" s="5" t="s">
        <v>48</v>
      </c>
      <c r="Z822" s="5">
        <v>10.050000000000001</v>
      </c>
      <c r="AA822" s="5" t="s">
        <v>68</v>
      </c>
      <c r="AB822" s="5"/>
      <c r="AC822" s="5"/>
      <c r="AD822" s="5"/>
      <c r="AE822" s="5"/>
      <c r="AF822" s="5" t="s">
        <v>68</v>
      </c>
      <c r="AG822" s="5"/>
      <c r="AH822" s="5"/>
      <c r="AI822" s="5"/>
      <c r="AJ822" s="5"/>
      <c r="AK822" s="5"/>
      <c r="AL822" s="5"/>
      <c r="AM822" s="5"/>
      <c r="AN822" s="5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</row>
    <row r="823" spans="1:240" ht="30" customHeight="1">
      <c r="A823" s="5">
        <v>821</v>
      </c>
      <c r="B823" s="5" t="s">
        <v>68</v>
      </c>
      <c r="C823" s="5"/>
      <c r="D823" s="5"/>
      <c r="E823" s="5">
        <v>1310</v>
      </c>
      <c r="F823" s="5">
        <v>1110</v>
      </c>
      <c r="G823" s="5">
        <v>690</v>
      </c>
      <c r="H823" s="5">
        <v>63</v>
      </c>
      <c r="I823" s="5" t="s">
        <v>17</v>
      </c>
      <c r="J823" s="5">
        <v>3.6</v>
      </c>
      <c r="K823" s="30">
        <v>5</v>
      </c>
      <c r="L823" s="5">
        <v>18</v>
      </c>
      <c r="M823" s="31">
        <v>10</v>
      </c>
      <c r="N823" s="5">
        <v>37</v>
      </c>
      <c r="O823" s="5">
        <v>10000</v>
      </c>
      <c r="P823" s="5"/>
      <c r="Q823" s="5"/>
      <c r="R823" s="5">
        <v>4</v>
      </c>
      <c r="S823" s="5">
        <v>350</v>
      </c>
      <c r="T823" s="5" t="s">
        <v>48</v>
      </c>
      <c r="U823" s="5">
        <v>1400</v>
      </c>
      <c r="V823" s="5">
        <v>0.52</v>
      </c>
      <c r="W823" s="5" t="s">
        <v>18</v>
      </c>
      <c r="X823" s="5">
        <v>42</v>
      </c>
      <c r="Y823" s="5" t="s">
        <v>48</v>
      </c>
      <c r="Z823" s="5">
        <v>6.78</v>
      </c>
      <c r="AA823" s="5" t="s">
        <v>68</v>
      </c>
      <c r="AB823" s="5"/>
      <c r="AC823" s="5"/>
      <c r="AD823" s="5"/>
      <c r="AE823" s="5"/>
      <c r="AF823" s="5" t="s">
        <v>68</v>
      </c>
      <c r="AG823" s="5"/>
      <c r="AH823" s="5"/>
      <c r="AI823" s="5"/>
      <c r="AJ823" s="5"/>
      <c r="AK823" s="5"/>
      <c r="AL823" s="5"/>
      <c r="AM823" s="5"/>
      <c r="AN823" s="5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</row>
    <row r="824" spans="1:240" ht="30" customHeight="1">
      <c r="A824" s="5">
        <v>822</v>
      </c>
      <c r="B824" s="5" t="s">
        <v>68</v>
      </c>
      <c r="C824" s="5"/>
      <c r="D824" s="5"/>
      <c r="E824" s="5">
        <v>1310</v>
      </c>
      <c r="F824" s="5">
        <v>1110</v>
      </c>
      <c r="G824" s="5">
        <v>690</v>
      </c>
      <c r="H824" s="5">
        <v>72.099999999999994</v>
      </c>
      <c r="I824" s="5" t="s">
        <v>17</v>
      </c>
      <c r="J824" s="5">
        <v>4.5999999999999996</v>
      </c>
      <c r="K824" s="30">
        <v>5</v>
      </c>
      <c r="L824" s="5">
        <v>24</v>
      </c>
      <c r="M824" s="31">
        <v>10</v>
      </c>
      <c r="N824" s="5">
        <v>39</v>
      </c>
      <c r="O824" s="5">
        <v>8800</v>
      </c>
      <c r="P824" s="5"/>
      <c r="Q824" s="5"/>
      <c r="R824" s="5">
        <v>4</v>
      </c>
      <c r="S824" s="5">
        <v>350</v>
      </c>
      <c r="T824" s="5" t="s">
        <v>48</v>
      </c>
      <c r="U824" s="5">
        <v>1400</v>
      </c>
      <c r="V824" s="5">
        <v>0.52</v>
      </c>
      <c r="W824" s="5" t="s">
        <v>18</v>
      </c>
      <c r="X824" s="5">
        <v>42</v>
      </c>
      <c r="Y824" s="5" t="s">
        <v>48</v>
      </c>
      <c r="Z824" s="5">
        <v>10.17</v>
      </c>
      <c r="AA824" s="5" t="s">
        <v>68</v>
      </c>
      <c r="AB824" s="5"/>
      <c r="AC824" s="5"/>
      <c r="AD824" s="5"/>
      <c r="AE824" s="5"/>
      <c r="AF824" s="5" t="s">
        <v>68</v>
      </c>
      <c r="AG824" s="5"/>
      <c r="AH824" s="5"/>
      <c r="AI824" s="5"/>
      <c r="AJ824" s="5"/>
      <c r="AK824" s="5"/>
      <c r="AL824" s="5"/>
      <c r="AM824" s="5"/>
      <c r="AN824" s="5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</row>
    <row r="825" spans="1:240" ht="30" customHeight="1">
      <c r="A825" s="5">
        <v>823</v>
      </c>
      <c r="B825" s="5" t="s">
        <v>68</v>
      </c>
      <c r="C825" s="5"/>
      <c r="D825" s="5"/>
      <c r="E825" s="5">
        <v>1310</v>
      </c>
      <c r="F825" s="5">
        <v>1110</v>
      </c>
      <c r="G825" s="5">
        <v>690</v>
      </c>
      <c r="H825" s="5">
        <v>81</v>
      </c>
      <c r="I825" s="5" t="s">
        <v>17</v>
      </c>
      <c r="J825" s="5">
        <v>5.7</v>
      </c>
      <c r="K825" s="30">
        <v>5</v>
      </c>
      <c r="L825" s="5">
        <v>30</v>
      </c>
      <c r="M825" s="31">
        <v>10</v>
      </c>
      <c r="N825" s="5">
        <v>47</v>
      </c>
      <c r="O825" s="5">
        <v>9600</v>
      </c>
      <c r="P825" s="5"/>
      <c r="Q825" s="5"/>
      <c r="R825" s="5">
        <v>4</v>
      </c>
      <c r="S825" s="5">
        <v>350</v>
      </c>
      <c r="T825" s="5" t="s">
        <v>48</v>
      </c>
      <c r="U825" s="5">
        <v>1400</v>
      </c>
      <c r="V825" s="5">
        <v>0.52</v>
      </c>
      <c r="W825" s="5" t="s">
        <v>18</v>
      </c>
      <c r="X825" s="5">
        <v>42</v>
      </c>
      <c r="Y825" s="5" t="s">
        <v>48</v>
      </c>
      <c r="Z825" s="5">
        <v>13.56</v>
      </c>
      <c r="AA825" s="5" t="s">
        <v>68</v>
      </c>
      <c r="AB825" s="5"/>
      <c r="AC825" s="5"/>
      <c r="AD825" s="5"/>
      <c r="AE825" s="5"/>
      <c r="AF825" s="5" t="s">
        <v>68</v>
      </c>
      <c r="AG825" s="5"/>
      <c r="AH825" s="5"/>
      <c r="AI825" s="5"/>
      <c r="AJ825" s="5"/>
      <c r="AK825" s="5"/>
      <c r="AL825" s="5"/>
      <c r="AM825" s="5"/>
      <c r="AN825" s="5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</row>
    <row r="826" spans="1:240" ht="30" customHeight="1">
      <c r="A826" s="5">
        <v>824</v>
      </c>
      <c r="B826" s="5" t="s">
        <v>68</v>
      </c>
      <c r="C826" s="5"/>
      <c r="D826" s="5"/>
      <c r="E826" s="5">
        <v>1860</v>
      </c>
      <c r="F826" s="5">
        <v>1110</v>
      </c>
      <c r="G826" s="5">
        <v>690</v>
      </c>
      <c r="H826" s="5">
        <v>85.5</v>
      </c>
      <c r="I826" s="5" t="s">
        <v>17</v>
      </c>
      <c r="J826" s="5">
        <v>5.4</v>
      </c>
      <c r="K826" s="30">
        <v>5</v>
      </c>
      <c r="L826" s="5">
        <v>28</v>
      </c>
      <c r="M826" s="31">
        <v>10</v>
      </c>
      <c r="N826" s="5">
        <v>38</v>
      </c>
      <c r="O826" s="5">
        <v>15000</v>
      </c>
      <c r="P826" s="5"/>
      <c r="Q826" s="5"/>
      <c r="R826" s="5">
        <v>6</v>
      </c>
      <c r="S826" s="5">
        <v>350</v>
      </c>
      <c r="T826" s="5" t="s">
        <v>48</v>
      </c>
      <c r="U826" s="5">
        <v>1400</v>
      </c>
      <c r="V826" s="5">
        <v>0.78</v>
      </c>
      <c r="W826" s="5" t="s">
        <v>18</v>
      </c>
      <c r="X826" s="5">
        <v>44</v>
      </c>
      <c r="Y826" s="5" t="s">
        <v>48</v>
      </c>
      <c r="Z826" s="5">
        <v>10.050000000000001</v>
      </c>
      <c r="AA826" s="5" t="s">
        <v>68</v>
      </c>
      <c r="AB826" s="5"/>
      <c r="AC826" s="5"/>
      <c r="AD826" s="5"/>
      <c r="AE826" s="5"/>
      <c r="AF826" s="5" t="s">
        <v>68</v>
      </c>
      <c r="AG826" s="5"/>
      <c r="AH826" s="5"/>
      <c r="AI826" s="5"/>
      <c r="AJ826" s="5"/>
      <c r="AK826" s="5"/>
      <c r="AL826" s="5"/>
      <c r="AM826" s="5"/>
      <c r="AN826" s="5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</row>
    <row r="827" spans="1:240" ht="30" customHeight="1">
      <c r="A827" s="5">
        <v>825</v>
      </c>
      <c r="B827" s="5" t="s">
        <v>68</v>
      </c>
      <c r="C827" s="5"/>
      <c r="D827" s="5"/>
      <c r="E827" s="5">
        <v>1860</v>
      </c>
      <c r="F827" s="5">
        <v>1110</v>
      </c>
      <c r="G827" s="5">
        <v>690</v>
      </c>
      <c r="H827" s="5">
        <v>98.5</v>
      </c>
      <c r="I827" s="5" t="s">
        <v>17</v>
      </c>
      <c r="J827" s="5">
        <v>6.6</v>
      </c>
      <c r="K827" s="30">
        <v>5</v>
      </c>
      <c r="L827" s="5">
        <v>38</v>
      </c>
      <c r="M827" s="31">
        <v>10</v>
      </c>
      <c r="N827" s="5">
        <v>39</v>
      </c>
      <c r="O827" s="5">
        <v>13200</v>
      </c>
      <c r="P827" s="5"/>
      <c r="Q827" s="5"/>
      <c r="R827" s="5">
        <v>6</v>
      </c>
      <c r="S827" s="5">
        <v>350</v>
      </c>
      <c r="T827" s="5" t="s">
        <v>48</v>
      </c>
      <c r="U827" s="5">
        <v>1400</v>
      </c>
      <c r="V827" s="5">
        <v>0.78</v>
      </c>
      <c r="W827" s="5" t="s">
        <v>18</v>
      </c>
      <c r="X827" s="5">
        <v>44</v>
      </c>
      <c r="Y827" s="5" t="s">
        <v>48</v>
      </c>
      <c r="Z827" s="5">
        <v>15.08</v>
      </c>
      <c r="AA827" s="5" t="s">
        <v>68</v>
      </c>
      <c r="AB827" s="5"/>
      <c r="AC827" s="5"/>
      <c r="AD827" s="5"/>
      <c r="AE827" s="5"/>
      <c r="AF827" s="5" t="s">
        <v>68</v>
      </c>
      <c r="AG827" s="5"/>
      <c r="AH827" s="5"/>
      <c r="AI827" s="5"/>
      <c r="AJ827" s="5"/>
      <c r="AK827" s="5"/>
      <c r="AL827" s="5"/>
      <c r="AM827" s="5"/>
      <c r="AN827" s="5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</row>
    <row r="828" spans="1:240" ht="30" customHeight="1">
      <c r="A828" s="5">
        <v>826</v>
      </c>
      <c r="B828" s="5" t="s">
        <v>68</v>
      </c>
      <c r="C828" s="5"/>
      <c r="D828" s="5"/>
      <c r="E828" s="5">
        <v>1860</v>
      </c>
      <c r="F828" s="5">
        <v>1110</v>
      </c>
      <c r="G828" s="5">
        <v>690</v>
      </c>
      <c r="H828" s="5">
        <v>111.8</v>
      </c>
      <c r="I828" s="5" t="s">
        <v>17</v>
      </c>
      <c r="J828" s="5">
        <v>8.1</v>
      </c>
      <c r="K828" s="30">
        <v>5</v>
      </c>
      <c r="L828" s="5">
        <v>47</v>
      </c>
      <c r="M828" s="31">
        <v>10</v>
      </c>
      <c r="N828" s="5">
        <v>47</v>
      </c>
      <c r="O828" s="5">
        <v>14400</v>
      </c>
      <c r="P828" s="5"/>
      <c r="Q828" s="5"/>
      <c r="R828" s="5">
        <v>6</v>
      </c>
      <c r="S828" s="5">
        <v>350</v>
      </c>
      <c r="T828" s="5" t="s">
        <v>48</v>
      </c>
      <c r="U828" s="5">
        <v>1400</v>
      </c>
      <c r="V828" s="5">
        <v>0.78</v>
      </c>
      <c r="W828" s="5" t="s">
        <v>18</v>
      </c>
      <c r="X828" s="5">
        <v>44</v>
      </c>
      <c r="Y828" s="5" t="s">
        <v>48</v>
      </c>
      <c r="Z828" s="5">
        <v>20.11</v>
      </c>
      <c r="AA828" s="5" t="s">
        <v>68</v>
      </c>
      <c r="AB828" s="5"/>
      <c r="AC828" s="5"/>
      <c r="AD828" s="5"/>
      <c r="AE828" s="5"/>
      <c r="AF828" s="5" t="s">
        <v>68</v>
      </c>
      <c r="AG828" s="5"/>
      <c r="AH828" s="5"/>
      <c r="AI828" s="5"/>
      <c r="AJ828" s="5"/>
      <c r="AK828" s="5"/>
      <c r="AL828" s="5"/>
      <c r="AM828" s="5"/>
      <c r="AN828" s="5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</row>
    <row r="829" spans="1:240" ht="30" customHeight="1">
      <c r="A829" s="5">
        <v>827</v>
      </c>
      <c r="B829" s="5" t="s">
        <v>68</v>
      </c>
      <c r="C829" s="5"/>
      <c r="D829" s="5"/>
      <c r="E829" s="5">
        <v>1105</v>
      </c>
      <c r="F829" s="5">
        <v>773</v>
      </c>
      <c r="G829" s="5">
        <v>870</v>
      </c>
      <c r="H829" s="5">
        <v>70</v>
      </c>
      <c r="I829" s="5" t="s">
        <v>17</v>
      </c>
      <c r="J829" s="5">
        <v>3.2</v>
      </c>
      <c r="K829" s="30">
        <v>5</v>
      </c>
      <c r="L829" s="5">
        <v>16</v>
      </c>
      <c r="M829" s="31">
        <v>10</v>
      </c>
      <c r="N829" s="5">
        <v>26</v>
      </c>
      <c r="O829" s="5">
        <v>7360</v>
      </c>
      <c r="P829" s="5"/>
      <c r="Q829" s="5"/>
      <c r="R829" s="5">
        <v>1</v>
      </c>
      <c r="S829" s="5">
        <v>500</v>
      </c>
      <c r="T829" s="5" t="s">
        <v>48</v>
      </c>
      <c r="U829" s="5">
        <v>1210</v>
      </c>
      <c r="V829" s="5">
        <v>0.77</v>
      </c>
      <c r="W829" s="5" t="s">
        <v>18</v>
      </c>
      <c r="X829" s="5">
        <v>45</v>
      </c>
      <c r="Y829" s="5">
        <v>34.5</v>
      </c>
      <c r="Z829" s="5">
        <v>6.1</v>
      </c>
      <c r="AA829" s="5" t="s">
        <v>68</v>
      </c>
      <c r="AB829" s="5"/>
      <c r="AC829" s="5"/>
      <c r="AD829" s="5"/>
      <c r="AE829" s="5"/>
      <c r="AF829" s="5" t="s">
        <v>68</v>
      </c>
      <c r="AG829" s="5"/>
      <c r="AH829" s="5"/>
      <c r="AI829" s="5"/>
      <c r="AJ829" s="5"/>
      <c r="AK829" s="5"/>
      <c r="AL829" s="5"/>
      <c r="AM829" s="5"/>
      <c r="AN829" s="5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</row>
    <row r="830" spans="1:240" ht="30" customHeight="1">
      <c r="A830" s="5">
        <v>828</v>
      </c>
      <c r="B830" s="5" t="s">
        <v>68</v>
      </c>
      <c r="C830" s="5"/>
      <c r="D830" s="5"/>
      <c r="E830" s="5">
        <v>1105</v>
      </c>
      <c r="F830" s="5">
        <v>773</v>
      </c>
      <c r="G830" s="5">
        <v>870</v>
      </c>
      <c r="H830" s="5">
        <v>74</v>
      </c>
      <c r="I830" s="5" t="s">
        <v>17</v>
      </c>
      <c r="J830" s="5">
        <v>3.8</v>
      </c>
      <c r="K830" s="30">
        <v>5</v>
      </c>
      <c r="L830" s="5">
        <v>20</v>
      </c>
      <c r="M830" s="31">
        <v>10</v>
      </c>
      <c r="N830" s="5">
        <v>31</v>
      </c>
      <c r="O830" s="5">
        <v>7030</v>
      </c>
      <c r="P830" s="5"/>
      <c r="Q830" s="5"/>
      <c r="R830" s="5">
        <v>1</v>
      </c>
      <c r="S830" s="5">
        <v>500</v>
      </c>
      <c r="T830" s="5" t="s">
        <v>48</v>
      </c>
      <c r="U830" s="5">
        <v>1210</v>
      </c>
      <c r="V830" s="5">
        <v>0.77</v>
      </c>
      <c r="W830" s="5" t="s">
        <v>18</v>
      </c>
      <c r="X830" s="5">
        <v>45</v>
      </c>
      <c r="Y830" s="5">
        <v>46</v>
      </c>
      <c r="Z830" s="5">
        <v>8.1</v>
      </c>
      <c r="AA830" s="5" t="s">
        <v>68</v>
      </c>
      <c r="AB830" s="5"/>
      <c r="AC830" s="5"/>
      <c r="AD830" s="5"/>
      <c r="AE830" s="5"/>
      <c r="AF830" s="5" t="s">
        <v>68</v>
      </c>
      <c r="AG830" s="5"/>
      <c r="AH830" s="5"/>
      <c r="AI830" s="5"/>
      <c r="AJ830" s="5"/>
      <c r="AK830" s="5"/>
      <c r="AL830" s="5"/>
      <c r="AM830" s="5"/>
      <c r="AN830" s="5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</row>
    <row r="831" spans="1:240" ht="30" customHeight="1">
      <c r="A831" s="5">
        <v>829</v>
      </c>
      <c r="B831" s="5" t="s">
        <v>68</v>
      </c>
      <c r="C831" s="5"/>
      <c r="D831" s="5"/>
      <c r="E831" s="5">
        <v>1105</v>
      </c>
      <c r="F831" s="5">
        <v>773</v>
      </c>
      <c r="G831" s="5">
        <v>870</v>
      </c>
      <c r="H831" s="5">
        <v>78</v>
      </c>
      <c r="I831" s="5" t="s">
        <v>17</v>
      </c>
      <c r="J831" s="5">
        <v>4.2</v>
      </c>
      <c r="K831" s="30">
        <v>5</v>
      </c>
      <c r="L831" s="5">
        <v>22</v>
      </c>
      <c r="M831" s="31">
        <v>10</v>
      </c>
      <c r="N831" s="5">
        <v>33</v>
      </c>
      <c r="O831" s="5">
        <v>6745</v>
      </c>
      <c r="P831" s="5"/>
      <c r="Q831" s="5"/>
      <c r="R831" s="5">
        <v>1</v>
      </c>
      <c r="S831" s="5">
        <v>500</v>
      </c>
      <c r="T831" s="5" t="s">
        <v>48</v>
      </c>
      <c r="U831" s="5">
        <v>1210</v>
      </c>
      <c r="V831" s="5">
        <v>0.77</v>
      </c>
      <c r="W831" s="5" t="s">
        <v>18</v>
      </c>
      <c r="X831" s="5">
        <v>45</v>
      </c>
      <c r="Y831" s="5">
        <v>57.5</v>
      </c>
      <c r="Z831" s="5">
        <v>9.9</v>
      </c>
      <c r="AA831" s="5" t="s">
        <v>68</v>
      </c>
      <c r="AB831" s="5"/>
      <c r="AC831" s="5"/>
      <c r="AD831" s="5"/>
      <c r="AE831" s="5"/>
      <c r="AF831" s="5" t="s">
        <v>68</v>
      </c>
      <c r="AG831" s="5"/>
      <c r="AH831" s="5"/>
      <c r="AI831" s="5"/>
      <c r="AJ831" s="5"/>
      <c r="AK831" s="5"/>
      <c r="AL831" s="5"/>
      <c r="AM831" s="5"/>
      <c r="AN831" s="5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</row>
    <row r="832" spans="1:240" ht="30" customHeight="1">
      <c r="A832" s="5">
        <v>830</v>
      </c>
      <c r="B832" s="5" t="s">
        <v>68</v>
      </c>
      <c r="C832" s="5"/>
      <c r="D832" s="5"/>
      <c r="E832" s="5">
        <v>2045</v>
      </c>
      <c r="F832" s="5">
        <v>773</v>
      </c>
      <c r="G832" s="5">
        <v>870</v>
      </c>
      <c r="H832" s="5">
        <v>107</v>
      </c>
      <c r="I832" s="5" t="s">
        <v>17</v>
      </c>
      <c r="J832" s="5">
        <v>5</v>
      </c>
      <c r="K832" s="30">
        <v>5</v>
      </c>
      <c r="L832" s="5">
        <v>26</v>
      </c>
      <c r="M832" s="31">
        <v>10</v>
      </c>
      <c r="N832" s="5">
        <v>40</v>
      </c>
      <c r="O832" s="5">
        <v>15200</v>
      </c>
      <c r="P832" s="5"/>
      <c r="Q832" s="5"/>
      <c r="R832" s="5">
        <v>2</v>
      </c>
      <c r="S832" s="5">
        <v>500</v>
      </c>
      <c r="T832" s="5" t="s">
        <v>48</v>
      </c>
      <c r="U832" s="5">
        <v>1210</v>
      </c>
      <c r="V832" s="5">
        <v>1.54</v>
      </c>
      <c r="W832" s="5" t="s">
        <v>18</v>
      </c>
      <c r="X832" s="5">
        <v>48</v>
      </c>
      <c r="Y832" s="5">
        <v>47.6</v>
      </c>
      <c r="Z832" s="5">
        <v>7.9</v>
      </c>
      <c r="AA832" s="5" t="s">
        <v>68</v>
      </c>
      <c r="AB832" s="5"/>
      <c r="AC832" s="5"/>
      <c r="AD832" s="5"/>
      <c r="AE832" s="5"/>
      <c r="AF832" s="5" t="s">
        <v>68</v>
      </c>
      <c r="AG832" s="5"/>
      <c r="AH832" s="5"/>
      <c r="AI832" s="5"/>
      <c r="AJ832" s="5"/>
      <c r="AK832" s="5"/>
      <c r="AL832" s="5"/>
      <c r="AM832" s="5"/>
      <c r="AN832" s="5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</row>
    <row r="833" spans="1:240" ht="30" customHeight="1">
      <c r="A833" s="5">
        <v>831</v>
      </c>
      <c r="B833" s="5" t="s">
        <v>68</v>
      </c>
      <c r="C833" s="5"/>
      <c r="D833" s="5"/>
      <c r="E833" s="5">
        <v>2045</v>
      </c>
      <c r="F833" s="5">
        <v>773</v>
      </c>
      <c r="G833" s="5">
        <v>870</v>
      </c>
      <c r="H833" s="5">
        <v>116</v>
      </c>
      <c r="I833" s="5" t="s">
        <v>17</v>
      </c>
      <c r="J833" s="5">
        <v>6.6</v>
      </c>
      <c r="K833" s="30">
        <v>5</v>
      </c>
      <c r="L833" s="5">
        <v>34</v>
      </c>
      <c r="M833" s="31">
        <v>10</v>
      </c>
      <c r="N833" s="5">
        <v>32</v>
      </c>
      <c r="O833" s="5">
        <v>14720</v>
      </c>
      <c r="P833" s="5"/>
      <c r="Q833" s="5"/>
      <c r="R833" s="5">
        <v>2</v>
      </c>
      <c r="S833" s="5">
        <v>500</v>
      </c>
      <c r="T833" s="5" t="s">
        <v>48</v>
      </c>
      <c r="U833" s="5">
        <v>1210</v>
      </c>
      <c r="V833" s="5">
        <v>1.54</v>
      </c>
      <c r="W833" s="5" t="s">
        <v>18</v>
      </c>
      <c r="X833" s="5">
        <v>48</v>
      </c>
      <c r="Y833" s="5">
        <v>71.400000000000006</v>
      </c>
      <c r="Z833" s="5">
        <v>12.2</v>
      </c>
      <c r="AA833" s="5" t="s">
        <v>68</v>
      </c>
      <c r="AB833" s="5"/>
      <c r="AC833" s="5"/>
      <c r="AD833" s="5"/>
      <c r="AE833" s="5"/>
      <c r="AF833" s="5" t="s">
        <v>68</v>
      </c>
      <c r="AG833" s="5"/>
      <c r="AH833" s="5"/>
      <c r="AI833" s="5"/>
      <c r="AJ833" s="5"/>
      <c r="AK833" s="5"/>
      <c r="AL833" s="5"/>
      <c r="AM833" s="5"/>
      <c r="AN833" s="5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</row>
    <row r="834" spans="1:240" ht="30" customHeight="1">
      <c r="A834" s="5">
        <v>832</v>
      </c>
      <c r="B834" s="5" t="s">
        <v>68</v>
      </c>
      <c r="C834" s="5"/>
      <c r="D834" s="5"/>
      <c r="E834" s="5">
        <v>2045</v>
      </c>
      <c r="F834" s="5">
        <v>773</v>
      </c>
      <c r="G834" s="5">
        <v>870</v>
      </c>
      <c r="H834" s="5">
        <v>125</v>
      </c>
      <c r="I834" s="5" t="s">
        <v>17</v>
      </c>
      <c r="J834" s="5">
        <v>7.9</v>
      </c>
      <c r="K834" s="30">
        <v>5</v>
      </c>
      <c r="L834" s="5">
        <v>41</v>
      </c>
      <c r="M834" s="31">
        <v>10</v>
      </c>
      <c r="N834" s="5">
        <v>47</v>
      </c>
      <c r="O834" s="5">
        <v>14060</v>
      </c>
      <c r="P834" s="5"/>
      <c r="Q834" s="5"/>
      <c r="R834" s="5">
        <v>2</v>
      </c>
      <c r="S834" s="5">
        <v>500</v>
      </c>
      <c r="T834" s="5" t="s">
        <v>48</v>
      </c>
      <c r="U834" s="5">
        <v>1210</v>
      </c>
      <c r="V834" s="5">
        <v>1.54</v>
      </c>
      <c r="W834" s="5" t="s">
        <v>18</v>
      </c>
      <c r="X834" s="5">
        <v>48</v>
      </c>
      <c r="Y834" s="5">
        <v>95.2</v>
      </c>
      <c r="Z834" s="5">
        <v>16.100000000000001</v>
      </c>
      <c r="AA834" s="5" t="s">
        <v>68</v>
      </c>
      <c r="AB834" s="5"/>
      <c r="AC834" s="5"/>
      <c r="AD834" s="5"/>
      <c r="AE834" s="5"/>
      <c r="AF834" s="5" t="s">
        <v>68</v>
      </c>
      <c r="AG834" s="5"/>
      <c r="AH834" s="5"/>
      <c r="AI834" s="5"/>
      <c r="AJ834" s="5"/>
      <c r="AK834" s="5"/>
      <c r="AL834" s="5"/>
      <c r="AM834" s="5"/>
      <c r="AN834" s="5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</row>
    <row r="835" spans="1:240" ht="30" customHeight="1">
      <c r="A835" s="5">
        <v>833</v>
      </c>
      <c r="B835" s="5" t="s">
        <v>68</v>
      </c>
      <c r="C835" s="5"/>
      <c r="D835" s="5"/>
      <c r="E835" s="5">
        <v>2045</v>
      </c>
      <c r="F835" s="5">
        <v>773</v>
      </c>
      <c r="G835" s="5">
        <v>870</v>
      </c>
      <c r="H835" s="5">
        <v>134</v>
      </c>
      <c r="I835" s="5" t="s">
        <v>17</v>
      </c>
      <c r="J835" s="5">
        <v>8.6999999999999993</v>
      </c>
      <c r="K835" s="30">
        <v>5</v>
      </c>
      <c r="L835" s="5">
        <v>45</v>
      </c>
      <c r="M835" s="31">
        <v>10</v>
      </c>
      <c r="N835" s="5">
        <v>37</v>
      </c>
      <c r="O835" s="5">
        <v>13490</v>
      </c>
      <c r="P835" s="5"/>
      <c r="Q835" s="5"/>
      <c r="R835" s="5">
        <v>2</v>
      </c>
      <c r="S835" s="5">
        <v>500</v>
      </c>
      <c r="T835" s="5" t="s">
        <v>48</v>
      </c>
      <c r="U835" s="5">
        <v>1210</v>
      </c>
      <c r="V835" s="5">
        <v>1.54</v>
      </c>
      <c r="W835" s="5" t="s">
        <v>18</v>
      </c>
      <c r="X835" s="5">
        <v>50</v>
      </c>
      <c r="Y835" s="5">
        <v>119</v>
      </c>
      <c r="Z835" s="5">
        <v>19.7</v>
      </c>
      <c r="AA835" s="5" t="s">
        <v>68</v>
      </c>
      <c r="AB835" s="5"/>
      <c r="AC835" s="5"/>
      <c r="AD835" s="5"/>
      <c r="AE835" s="5"/>
      <c r="AF835" s="5" t="s">
        <v>68</v>
      </c>
      <c r="AG835" s="5"/>
      <c r="AH835" s="5"/>
      <c r="AI835" s="5"/>
      <c r="AJ835" s="5"/>
      <c r="AK835" s="5"/>
      <c r="AL835" s="5"/>
      <c r="AM835" s="5"/>
      <c r="AN835" s="5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</row>
    <row r="836" spans="1:240" ht="30" customHeight="1">
      <c r="A836" s="5">
        <v>834</v>
      </c>
      <c r="B836" s="5" t="s">
        <v>68</v>
      </c>
      <c r="C836" s="5"/>
      <c r="D836" s="5"/>
      <c r="E836" s="5">
        <v>2985</v>
      </c>
      <c r="F836" s="5">
        <v>773</v>
      </c>
      <c r="G836" s="5">
        <v>870</v>
      </c>
      <c r="H836" s="5">
        <v>162</v>
      </c>
      <c r="I836" s="5" t="s">
        <v>17</v>
      </c>
      <c r="J836" s="5">
        <v>10.1</v>
      </c>
      <c r="K836" s="30">
        <v>5</v>
      </c>
      <c r="L836" s="5">
        <v>52</v>
      </c>
      <c r="M836" s="31">
        <v>10</v>
      </c>
      <c r="N836" s="5">
        <v>39</v>
      </c>
      <c r="O836" s="5">
        <v>22080</v>
      </c>
      <c r="P836" s="5"/>
      <c r="Q836" s="5"/>
      <c r="R836" s="5">
        <v>3</v>
      </c>
      <c r="S836" s="5">
        <v>500</v>
      </c>
      <c r="T836" s="5" t="s">
        <v>48</v>
      </c>
      <c r="U836" s="5">
        <v>1210</v>
      </c>
      <c r="V836" s="5">
        <v>2.31</v>
      </c>
      <c r="W836" s="5" t="s">
        <v>18</v>
      </c>
      <c r="X836" s="5">
        <v>50</v>
      </c>
      <c r="Y836" s="5">
        <v>108.2</v>
      </c>
      <c r="Z836" s="5">
        <v>18.100000000000001</v>
      </c>
      <c r="AA836" s="5" t="s">
        <v>68</v>
      </c>
      <c r="AB836" s="5"/>
      <c r="AC836" s="5"/>
      <c r="AD836" s="5"/>
      <c r="AE836" s="5"/>
      <c r="AF836" s="5" t="s">
        <v>68</v>
      </c>
      <c r="AG836" s="5"/>
      <c r="AH836" s="5"/>
      <c r="AI836" s="5"/>
      <c r="AJ836" s="5"/>
      <c r="AK836" s="5"/>
      <c r="AL836" s="5"/>
      <c r="AM836" s="5"/>
      <c r="AN836" s="5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</row>
    <row r="837" spans="1:240" ht="30" customHeight="1">
      <c r="A837" s="5">
        <v>835</v>
      </c>
      <c r="B837" s="5" t="s">
        <v>68</v>
      </c>
      <c r="C837" s="5"/>
      <c r="D837" s="5"/>
      <c r="E837" s="5">
        <v>2985</v>
      </c>
      <c r="F837" s="5">
        <v>773</v>
      </c>
      <c r="G837" s="5">
        <v>870</v>
      </c>
      <c r="H837" s="5">
        <v>175</v>
      </c>
      <c r="I837" s="5" t="s">
        <v>17</v>
      </c>
      <c r="J837" s="5">
        <v>11.8</v>
      </c>
      <c r="K837" s="30">
        <v>5</v>
      </c>
      <c r="L837" s="5">
        <v>61</v>
      </c>
      <c r="M837" s="31">
        <v>10</v>
      </c>
      <c r="N837" s="5">
        <v>34</v>
      </c>
      <c r="O837" s="5">
        <v>21090</v>
      </c>
      <c r="P837" s="5"/>
      <c r="Q837" s="5"/>
      <c r="R837" s="5">
        <v>3</v>
      </c>
      <c r="S837" s="5">
        <v>500</v>
      </c>
      <c r="T837" s="5" t="s">
        <v>48</v>
      </c>
      <c r="U837" s="5">
        <v>1210</v>
      </c>
      <c r="V837" s="5">
        <v>2.31</v>
      </c>
      <c r="W837" s="5" t="s">
        <v>18</v>
      </c>
      <c r="X837" s="5">
        <v>50</v>
      </c>
      <c r="Y837" s="5">
        <v>144.30000000000001</v>
      </c>
      <c r="Z837" s="5">
        <v>24</v>
      </c>
      <c r="AA837" s="5" t="s">
        <v>68</v>
      </c>
      <c r="AB837" s="5"/>
      <c r="AC837" s="5"/>
      <c r="AD837" s="5"/>
      <c r="AE837" s="5"/>
      <c r="AF837" s="5" t="s">
        <v>68</v>
      </c>
      <c r="AG837" s="5"/>
      <c r="AH837" s="5"/>
      <c r="AI837" s="5"/>
      <c r="AJ837" s="5"/>
      <c r="AK837" s="5"/>
      <c r="AL837" s="5"/>
      <c r="AM837" s="5"/>
      <c r="AN837" s="5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</row>
    <row r="838" spans="1:240" ht="30" customHeight="1">
      <c r="A838" s="5">
        <v>836</v>
      </c>
      <c r="B838" s="5" t="s">
        <v>68</v>
      </c>
      <c r="C838" s="5"/>
      <c r="D838" s="5"/>
      <c r="E838" s="5">
        <v>2985</v>
      </c>
      <c r="F838" s="5">
        <v>773</v>
      </c>
      <c r="G838" s="5">
        <v>870</v>
      </c>
      <c r="H838" s="5">
        <v>188</v>
      </c>
      <c r="I838" s="5" t="s">
        <v>17</v>
      </c>
      <c r="J838" s="5">
        <v>13.1</v>
      </c>
      <c r="K838" s="30">
        <v>5</v>
      </c>
      <c r="L838" s="5">
        <v>67</v>
      </c>
      <c r="M838" s="31">
        <v>10</v>
      </c>
      <c r="N838" s="5">
        <v>27</v>
      </c>
      <c r="O838" s="5">
        <v>20235</v>
      </c>
      <c r="P838" s="5"/>
      <c r="Q838" s="5"/>
      <c r="R838" s="5">
        <v>3</v>
      </c>
      <c r="S838" s="5">
        <v>500</v>
      </c>
      <c r="T838" s="5" t="s">
        <v>48</v>
      </c>
      <c r="U838" s="5">
        <v>1210</v>
      </c>
      <c r="V838" s="5">
        <v>2.31</v>
      </c>
      <c r="W838" s="5" t="s">
        <v>18</v>
      </c>
      <c r="X838" s="5">
        <v>51</v>
      </c>
      <c r="Y838" s="5">
        <v>180.4</v>
      </c>
      <c r="Z838" s="5">
        <v>29.5</v>
      </c>
      <c r="AA838" s="5" t="s">
        <v>68</v>
      </c>
      <c r="AB838" s="5"/>
      <c r="AC838" s="5"/>
      <c r="AD838" s="5"/>
      <c r="AE838" s="5"/>
      <c r="AF838" s="5" t="s">
        <v>68</v>
      </c>
      <c r="AG838" s="5"/>
      <c r="AH838" s="5"/>
      <c r="AI838" s="5"/>
      <c r="AJ838" s="5"/>
      <c r="AK838" s="5"/>
      <c r="AL838" s="5"/>
      <c r="AM838" s="5"/>
      <c r="AN838" s="5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</row>
    <row r="839" spans="1:240" ht="30" customHeight="1">
      <c r="A839" s="5">
        <v>837</v>
      </c>
      <c r="B839" s="5" t="s">
        <v>68</v>
      </c>
      <c r="C839" s="5"/>
      <c r="D839" s="5"/>
      <c r="E839" s="5">
        <v>3925</v>
      </c>
      <c r="F839" s="5">
        <v>773</v>
      </c>
      <c r="G839" s="5">
        <v>870</v>
      </c>
      <c r="H839" s="5">
        <v>206</v>
      </c>
      <c r="I839" s="5" t="s">
        <v>17</v>
      </c>
      <c r="J839" s="5">
        <v>13.3</v>
      </c>
      <c r="K839" s="30">
        <v>5</v>
      </c>
      <c r="L839" s="5">
        <v>69</v>
      </c>
      <c r="M839" s="31">
        <v>10</v>
      </c>
      <c r="N839" s="5">
        <v>30</v>
      </c>
      <c r="O839" s="5">
        <v>29440</v>
      </c>
      <c r="P839" s="5"/>
      <c r="Q839" s="5"/>
      <c r="R839" s="5">
        <v>4</v>
      </c>
      <c r="S839" s="5">
        <v>500</v>
      </c>
      <c r="T839" s="5" t="s">
        <v>48</v>
      </c>
      <c r="U839" s="5">
        <v>1210</v>
      </c>
      <c r="V839" s="5">
        <v>3.08</v>
      </c>
      <c r="W839" s="5" t="s">
        <v>18</v>
      </c>
      <c r="X839" s="5">
        <v>51</v>
      </c>
      <c r="Y839" s="5">
        <v>142.80000000000001</v>
      </c>
      <c r="Z839" s="5">
        <v>23.9</v>
      </c>
      <c r="AA839" s="5" t="s">
        <v>68</v>
      </c>
      <c r="AB839" s="5"/>
      <c r="AC839" s="5"/>
      <c r="AD839" s="5"/>
      <c r="AE839" s="5"/>
      <c r="AF839" s="5" t="s">
        <v>68</v>
      </c>
      <c r="AG839" s="5"/>
      <c r="AH839" s="5"/>
      <c r="AI839" s="5"/>
      <c r="AJ839" s="5"/>
      <c r="AK839" s="5"/>
      <c r="AL839" s="5"/>
      <c r="AM839" s="5"/>
      <c r="AN839" s="5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</row>
    <row r="840" spans="1:240" ht="30" customHeight="1">
      <c r="A840" s="5">
        <v>838</v>
      </c>
      <c r="B840" s="5" t="s">
        <v>68</v>
      </c>
      <c r="C840" s="5"/>
      <c r="D840" s="5"/>
      <c r="E840" s="5">
        <v>3925</v>
      </c>
      <c r="F840" s="5">
        <v>773</v>
      </c>
      <c r="G840" s="5">
        <v>870</v>
      </c>
      <c r="H840" s="5">
        <v>224</v>
      </c>
      <c r="I840" s="5" t="s">
        <v>17</v>
      </c>
      <c r="J840" s="5">
        <v>15.6</v>
      </c>
      <c r="K840" s="30">
        <v>5</v>
      </c>
      <c r="L840" s="5">
        <v>80</v>
      </c>
      <c r="M840" s="31">
        <v>10</v>
      </c>
      <c r="N840" s="5">
        <v>23</v>
      </c>
      <c r="O840" s="5">
        <v>28120</v>
      </c>
      <c r="P840" s="5"/>
      <c r="Q840" s="5"/>
      <c r="R840" s="5">
        <v>4</v>
      </c>
      <c r="S840" s="5">
        <v>500</v>
      </c>
      <c r="T840" s="5" t="s">
        <v>48</v>
      </c>
      <c r="U840" s="5">
        <v>1210</v>
      </c>
      <c r="V840" s="5">
        <v>3.08</v>
      </c>
      <c r="W840" s="5" t="s">
        <v>18</v>
      </c>
      <c r="X840" s="5">
        <v>51</v>
      </c>
      <c r="Y840" s="5">
        <v>190.3</v>
      </c>
      <c r="Z840" s="5">
        <v>31.6</v>
      </c>
      <c r="AA840" s="5" t="s">
        <v>68</v>
      </c>
      <c r="AB840" s="5"/>
      <c r="AC840" s="5"/>
      <c r="AD840" s="5"/>
      <c r="AE840" s="5"/>
      <c r="AF840" s="5" t="s">
        <v>68</v>
      </c>
      <c r="AG840" s="5"/>
      <c r="AH840" s="5"/>
      <c r="AI840" s="5"/>
      <c r="AJ840" s="5"/>
      <c r="AK840" s="5"/>
      <c r="AL840" s="5"/>
      <c r="AM840" s="5"/>
      <c r="AN840" s="5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</row>
    <row r="841" spans="1:240" ht="30" customHeight="1">
      <c r="A841" s="5">
        <v>839</v>
      </c>
      <c r="B841" s="5" t="s">
        <v>68</v>
      </c>
      <c r="C841" s="5"/>
      <c r="D841" s="5"/>
      <c r="E841" s="5">
        <v>3925</v>
      </c>
      <c r="F841" s="5">
        <v>773</v>
      </c>
      <c r="G841" s="5">
        <v>870</v>
      </c>
      <c r="H841" s="5">
        <v>242</v>
      </c>
      <c r="I841" s="5" t="s">
        <v>17</v>
      </c>
      <c r="J841" s="5">
        <v>17.899999999999999</v>
      </c>
      <c r="K841" s="30">
        <v>5</v>
      </c>
      <c r="L841" s="5">
        <v>92</v>
      </c>
      <c r="M841" s="31">
        <v>10</v>
      </c>
      <c r="N841" s="5">
        <v>56</v>
      </c>
      <c r="O841" s="5">
        <v>26980</v>
      </c>
      <c r="P841" s="5"/>
      <c r="Q841" s="5"/>
      <c r="R841" s="5">
        <v>4</v>
      </c>
      <c r="S841" s="5">
        <v>500</v>
      </c>
      <c r="T841" s="5" t="s">
        <v>48</v>
      </c>
      <c r="U841" s="5">
        <v>1210</v>
      </c>
      <c r="V841" s="5">
        <v>3.08</v>
      </c>
      <c r="W841" s="5" t="s">
        <v>18</v>
      </c>
      <c r="X841" s="5">
        <v>51</v>
      </c>
      <c r="Y841" s="5">
        <v>237.9</v>
      </c>
      <c r="Z841" s="5">
        <v>38.799999999999997</v>
      </c>
      <c r="AA841" s="5" t="s">
        <v>68</v>
      </c>
      <c r="AB841" s="5"/>
      <c r="AC841" s="5"/>
      <c r="AD841" s="5"/>
      <c r="AE841" s="5"/>
      <c r="AF841" s="5" t="s">
        <v>68</v>
      </c>
      <c r="AG841" s="5"/>
      <c r="AH841" s="5"/>
      <c r="AI841" s="5"/>
      <c r="AJ841" s="5"/>
      <c r="AK841" s="5"/>
      <c r="AL841" s="5"/>
      <c r="AM841" s="5"/>
      <c r="AN841" s="5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</row>
    <row r="842" spans="1:240" ht="30" customHeight="1">
      <c r="A842" s="5">
        <v>840</v>
      </c>
      <c r="B842" s="5" t="s">
        <v>68</v>
      </c>
      <c r="C842" s="5"/>
      <c r="D842" s="5"/>
      <c r="E842" s="5">
        <v>2985</v>
      </c>
      <c r="F842" s="5">
        <v>773</v>
      </c>
      <c r="G842" s="5">
        <v>870</v>
      </c>
      <c r="H842" s="5">
        <v>324</v>
      </c>
      <c r="I842" s="5" t="s">
        <v>17</v>
      </c>
      <c r="J842" s="5">
        <v>20.100000000000001</v>
      </c>
      <c r="K842" s="30">
        <v>5</v>
      </c>
      <c r="L842" s="5">
        <v>104</v>
      </c>
      <c r="M842" s="31">
        <v>10</v>
      </c>
      <c r="N842" s="5">
        <v>39</v>
      </c>
      <c r="O842" s="5">
        <v>44160</v>
      </c>
      <c r="P842" s="5"/>
      <c r="Q842" s="5"/>
      <c r="R842" s="5">
        <v>6</v>
      </c>
      <c r="S842" s="5">
        <v>500</v>
      </c>
      <c r="T842" s="5" t="s">
        <v>48</v>
      </c>
      <c r="U842" s="5">
        <v>1210</v>
      </c>
      <c r="V842" s="5">
        <v>4.62</v>
      </c>
      <c r="W842" s="5" t="s">
        <v>18</v>
      </c>
      <c r="X842" s="5">
        <v>53</v>
      </c>
      <c r="Y842" s="5">
        <v>216.4</v>
      </c>
      <c r="Z842" s="5">
        <v>37.200000000000003</v>
      </c>
      <c r="AA842" s="5" t="s">
        <v>68</v>
      </c>
      <c r="AB842" s="5"/>
      <c r="AC842" s="5"/>
      <c r="AD842" s="5"/>
      <c r="AE842" s="5"/>
      <c r="AF842" s="5" t="s">
        <v>68</v>
      </c>
      <c r="AG842" s="5"/>
      <c r="AH842" s="5"/>
      <c r="AI842" s="5"/>
      <c r="AJ842" s="5"/>
      <c r="AK842" s="5"/>
      <c r="AL842" s="5"/>
      <c r="AM842" s="5"/>
      <c r="AN842" s="5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</row>
    <row r="843" spans="1:240" ht="30" customHeight="1">
      <c r="A843" s="5">
        <v>841</v>
      </c>
      <c r="B843" s="5" t="s">
        <v>68</v>
      </c>
      <c r="C843" s="5"/>
      <c r="D843" s="5"/>
      <c r="E843" s="5">
        <v>2985</v>
      </c>
      <c r="F843" s="5">
        <v>773</v>
      </c>
      <c r="G843" s="5">
        <v>870</v>
      </c>
      <c r="H843" s="5">
        <v>350</v>
      </c>
      <c r="I843" s="5" t="s">
        <v>17</v>
      </c>
      <c r="J843" s="5">
        <v>23.6</v>
      </c>
      <c r="K843" s="30">
        <v>5</v>
      </c>
      <c r="L843" s="5">
        <v>122</v>
      </c>
      <c r="M843" s="31">
        <v>10</v>
      </c>
      <c r="N843" s="5">
        <v>34</v>
      </c>
      <c r="O843" s="5">
        <v>42180</v>
      </c>
      <c r="P843" s="5"/>
      <c r="Q843" s="5"/>
      <c r="R843" s="5">
        <v>6</v>
      </c>
      <c r="S843" s="5">
        <v>500</v>
      </c>
      <c r="T843" s="5" t="s">
        <v>48</v>
      </c>
      <c r="U843" s="5">
        <v>1210</v>
      </c>
      <c r="V843" s="5">
        <v>4.62</v>
      </c>
      <c r="W843" s="5" t="s">
        <v>18</v>
      </c>
      <c r="X843" s="5">
        <v>53</v>
      </c>
      <c r="Y843" s="5">
        <v>288.60000000000002</v>
      </c>
      <c r="Z843" s="5">
        <v>50.1</v>
      </c>
      <c r="AA843" s="5" t="s">
        <v>68</v>
      </c>
      <c r="AB843" s="5"/>
      <c r="AC843" s="5"/>
      <c r="AD843" s="5"/>
      <c r="AE843" s="5"/>
      <c r="AF843" s="5" t="s">
        <v>68</v>
      </c>
      <c r="AG843" s="5"/>
      <c r="AH843" s="5"/>
      <c r="AI843" s="5"/>
      <c r="AJ843" s="5"/>
      <c r="AK843" s="5"/>
      <c r="AL843" s="5"/>
      <c r="AM843" s="5"/>
      <c r="AN843" s="5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</row>
    <row r="844" spans="1:240" ht="30" customHeight="1">
      <c r="A844" s="5">
        <v>842</v>
      </c>
      <c r="B844" s="5" t="s">
        <v>68</v>
      </c>
      <c r="C844" s="5"/>
      <c r="D844" s="5"/>
      <c r="E844" s="5">
        <v>2985</v>
      </c>
      <c r="F844" s="5">
        <v>773</v>
      </c>
      <c r="G844" s="5">
        <v>870</v>
      </c>
      <c r="H844" s="5">
        <v>376</v>
      </c>
      <c r="I844" s="5" t="s">
        <v>17</v>
      </c>
      <c r="J844" s="5">
        <v>26.1</v>
      </c>
      <c r="K844" s="30">
        <v>5</v>
      </c>
      <c r="L844" s="5">
        <v>135</v>
      </c>
      <c r="M844" s="31">
        <v>10</v>
      </c>
      <c r="N844" s="5">
        <v>27</v>
      </c>
      <c r="O844" s="5">
        <v>40470</v>
      </c>
      <c r="P844" s="5"/>
      <c r="Q844" s="5"/>
      <c r="R844" s="5">
        <v>6</v>
      </c>
      <c r="S844" s="5">
        <v>500</v>
      </c>
      <c r="T844" s="5" t="s">
        <v>48</v>
      </c>
      <c r="U844" s="5">
        <v>1210</v>
      </c>
      <c r="V844" s="5">
        <v>4.62</v>
      </c>
      <c r="W844" s="5" t="s">
        <v>18</v>
      </c>
      <c r="X844" s="5">
        <v>53</v>
      </c>
      <c r="Y844" s="5">
        <v>360.8</v>
      </c>
      <c r="Z844" s="5">
        <v>61.1</v>
      </c>
      <c r="AA844" s="5" t="s">
        <v>68</v>
      </c>
      <c r="AB844" s="5"/>
      <c r="AC844" s="5"/>
      <c r="AD844" s="5"/>
      <c r="AE844" s="5"/>
      <c r="AF844" s="5" t="s">
        <v>68</v>
      </c>
      <c r="AG844" s="5"/>
      <c r="AH844" s="5"/>
      <c r="AI844" s="5"/>
      <c r="AJ844" s="5"/>
      <c r="AK844" s="5"/>
      <c r="AL844" s="5"/>
      <c r="AM844" s="5"/>
      <c r="AN844" s="5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</row>
    <row r="845" spans="1:240" ht="30" customHeight="1">
      <c r="A845" s="5">
        <v>843</v>
      </c>
      <c r="B845" s="5" t="s">
        <v>68</v>
      </c>
      <c r="C845" s="5"/>
      <c r="D845" s="5"/>
      <c r="E845" s="5">
        <v>3925</v>
      </c>
      <c r="F845" s="5">
        <v>773</v>
      </c>
      <c r="G845" s="5">
        <v>870</v>
      </c>
      <c r="H845" s="5">
        <v>412</v>
      </c>
      <c r="I845" s="5" t="s">
        <v>17</v>
      </c>
      <c r="J845" s="5">
        <v>26.7</v>
      </c>
      <c r="K845" s="30">
        <v>5</v>
      </c>
      <c r="L845" s="5">
        <v>137</v>
      </c>
      <c r="M845" s="31">
        <v>10</v>
      </c>
      <c r="N845" s="5">
        <v>30</v>
      </c>
      <c r="O845" s="5">
        <v>58880</v>
      </c>
      <c r="P845" s="5"/>
      <c r="Q845" s="5"/>
      <c r="R845" s="5">
        <v>8</v>
      </c>
      <c r="S845" s="5">
        <v>500</v>
      </c>
      <c r="T845" s="5" t="s">
        <v>48</v>
      </c>
      <c r="U845" s="5">
        <v>1210</v>
      </c>
      <c r="V845" s="5">
        <v>6.16</v>
      </c>
      <c r="W845" s="5" t="s">
        <v>18</v>
      </c>
      <c r="X845" s="5">
        <v>54</v>
      </c>
      <c r="Y845" s="5">
        <v>285.60000000000002</v>
      </c>
      <c r="Z845" s="5">
        <v>49</v>
      </c>
      <c r="AA845" s="5" t="s">
        <v>68</v>
      </c>
      <c r="AB845" s="5"/>
      <c r="AC845" s="5"/>
      <c r="AD845" s="5"/>
      <c r="AE845" s="5"/>
      <c r="AF845" s="5" t="s">
        <v>68</v>
      </c>
      <c r="AG845" s="5"/>
      <c r="AH845" s="5"/>
      <c r="AI845" s="5"/>
      <c r="AJ845" s="5"/>
      <c r="AK845" s="5"/>
      <c r="AL845" s="5"/>
      <c r="AM845" s="5"/>
      <c r="AN845" s="5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</row>
    <row r="846" spans="1:240" ht="30" customHeight="1">
      <c r="A846" s="5">
        <v>844</v>
      </c>
      <c r="B846" s="5" t="s">
        <v>68</v>
      </c>
      <c r="C846" s="5"/>
      <c r="D846" s="5"/>
      <c r="E846" s="5">
        <v>3925</v>
      </c>
      <c r="F846" s="5">
        <v>773</v>
      </c>
      <c r="G846" s="5">
        <v>870</v>
      </c>
      <c r="H846" s="5">
        <v>448</v>
      </c>
      <c r="I846" s="5" t="s">
        <v>17</v>
      </c>
      <c r="J846" s="5">
        <v>31.1</v>
      </c>
      <c r="K846" s="30">
        <v>5</v>
      </c>
      <c r="L846" s="5">
        <v>160</v>
      </c>
      <c r="M846" s="31">
        <v>10</v>
      </c>
      <c r="N846" s="5">
        <v>23</v>
      </c>
      <c r="O846" s="5">
        <v>56240</v>
      </c>
      <c r="P846" s="5"/>
      <c r="Q846" s="5"/>
      <c r="R846" s="5">
        <v>8</v>
      </c>
      <c r="S846" s="5">
        <v>500</v>
      </c>
      <c r="T846" s="5" t="s">
        <v>48</v>
      </c>
      <c r="U846" s="5">
        <v>1210</v>
      </c>
      <c r="V846" s="5">
        <v>6.16</v>
      </c>
      <c r="W846" s="5" t="s">
        <v>18</v>
      </c>
      <c r="X846" s="5">
        <v>54</v>
      </c>
      <c r="Y846" s="5">
        <v>380.6</v>
      </c>
      <c r="Z846" s="5">
        <v>64.400000000000006</v>
      </c>
      <c r="AA846" s="5" t="s">
        <v>68</v>
      </c>
      <c r="AB846" s="5"/>
      <c r="AC846" s="5"/>
      <c r="AD846" s="5"/>
      <c r="AE846" s="5"/>
      <c r="AF846" s="5" t="s">
        <v>68</v>
      </c>
      <c r="AG846" s="5"/>
      <c r="AH846" s="5"/>
      <c r="AI846" s="5"/>
      <c r="AJ846" s="5"/>
      <c r="AK846" s="5"/>
      <c r="AL846" s="5"/>
      <c r="AM846" s="5"/>
      <c r="AN846" s="5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</row>
    <row r="847" spans="1:240" ht="30" customHeight="1">
      <c r="A847" s="5">
        <v>845</v>
      </c>
      <c r="B847" s="5" t="s">
        <v>68</v>
      </c>
      <c r="C847" s="5"/>
      <c r="D847" s="5"/>
      <c r="E847" s="5">
        <v>3925</v>
      </c>
      <c r="F847" s="5">
        <v>773</v>
      </c>
      <c r="G847" s="5">
        <v>870</v>
      </c>
      <c r="H847" s="5">
        <v>484</v>
      </c>
      <c r="I847" s="5" t="s">
        <v>17</v>
      </c>
      <c r="J847" s="5">
        <v>35.799999999999997</v>
      </c>
      <c r="K847" s="30">
        <v>5</v>
      </c>
      <c r="L847" s="5">
        <v>185</v>
      </c>
      <c r="M847" s="31">
        <v>10</v>
      </c>
      <c r="N847" s="5">
        <v>56</v>
      </c>
      <c r="O847" s="5">
        <v>53960</v>
      </c>
      <c r="P847" s="5"/>
      <c r="Q847" s="5"/>
      <c r="R847" s="5">
        <v>8</v>
      </c>
      <c r="S847" s="5">
        <v>500</v>
      </c>
      <c r="T847" s="5" t="s">
        <v>48</v>
      </c>
      <c r="U847" s="5">
        <v>1210</v>
      </c>
      <c r="V847" s="5">
        <v>6.16</v>
      </c>
      <c r="W847" s="5" t="s">
        <v>18</v>
      </c>
      <c r="X847" s="5">
        <v>54</v>
      </c>
      <c r="Y847" s="5">
        <v>475.8</v>
      </c>
      <c r="Z847" s="5">
        <v>81.900000000000006</v>
      </c>
      <c r="AA847" s="5" t="s">
        <v>68</v>
      </c>
      <c r="AB847" s="5"/>
      <c r="AC847" s="5"/>
      <c r="AD847" s="5"/>
      <c r="AE847" s="5"/>
      <c r="AF847" s="5" t="s">
        <v>68</v>
      </c>
      <c r="AG847" s="5"/>
      <c r="AH847" s="5"/>
      <c r="AI847" s="5"/>
      <c r="AJ847" s="5"/>
      <c r="AK847" s="5"/>
      <c r="AL847" s="5"/>
      <c r="AM847" s="5"/>
      <c r="AN847" s="5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</row>
    <row r="848" spans="1:240" ht="30" customHeight="1">
      <c r="A848" s="5">
        <v>846</v>
      </c>
      <c r="B848" s="5" t="s">
        <v>68</v>
      </c>
      <c r="C848" s="5"/>
      <c r="D848" s="5"/>
      <c r="E848" s="5">
        <v>1340</v>
      </c>
      <c r="F848" s="5">
        <v>1374</v>
      </c>
      <c r="G848" s="5">
        <v>1180</v>
      </c>
      <c r="H848" s="5">
        <v>108</v>
      </c>
      <c r="I848" s="5" t="s">
        <v>17</v>
      </c>
      <c r="J848" s="5">
        <v>4.5</v>
      </c>
      <c r="K848" s="30">
        <v>5</v>
      </c>
      <c r="L848" s="5">
        <v>23</v>
      </c>
      <c r="M848" s="31">
        <v>10</v>
      </c>
      <c r="N848" s="5">
        <v>22</v>
      </c>
      <c r="O848" s="5">
        <v>9550</v>
      </c>
      <c r="P848" s="5"/>
      <c r="Q848" s="5"/>
      <c r="R848" s="5">
        <v>1</v>
      </c>
      <c r="S848" s="5">
        <v>630</v>
      </c>
      <c r="T848" s="5" t="s">
        <v>48</v>
      </c>
      <c r="U848" s="5">
        <v>900</v>
      </c>
      <c r="V848" s="5">
        <v>0.69</v>
      </c>
      <c r="W848" s="5" t="s">
        <v>84</v>
      </c>
      <c r="X848" s="5">
        <v>49</v>
      </c>
      <c r="Y848" s="5">
        <v>57.2</v>
      </c>
      <c r="Z848" s="5">
        <v>8.8000000000000007</v>
      </c>
      <c r="AA848" s="5" t="s">
        <v>68</v>
      </c>
      <c r="AB848" s="5"/>
      <c r="AC848" s="5"/>
      <c r="AD848" s="5"/>
      <c r="AE848" s="5"/>
      <c r="AF848" s="5" t="s">
        <v>68</v>
      </c>
      <c r="AG848" s="5"/>
      <c r="AH848" s="5"/>
      <c r="AI848" s="5"/>
      <c r="AJ848" s="5"/>
      <c r="AK848" s="5"/>
      <c r="AL848" s="5"/>
      <c r="AM848" s="5"/>
      <c r="AN848" s="5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</row>
    <row r="849" spans="1:240" ht="30" customHeight="1">
      <c r="A849" s="5">
        <v>847</v>
      </c>
      <c r="B849" s="5" t="s">
        <v>68</v>
      </c>
      <c r="C849" s="5"/>
      <c r="D849" s="5"/>
      <c r="E849" s="5">
        <v>1340</v>
      </c>
      <c r="F849" s="5">
        <v>1374</v>
      </c>
      <c r="G849" s="5">
        <v>1180</v>
      </c>
      <c r="H849" s="5">
        <v>115</v>
      </c>
      <c r="I849" s="5" t="s">
        <v>17</v>
      </c>
      <c r="J849" s="5">
        <v>5.4</v>
      </c>
      <c r="K849" s="30">
        <v>5</v>
      </c>
      <c r="L849" s="5">
        <v>28</v>
      </c>
      <c r="M849" s="31">
        <v>10</v>
      </c>
      <c r="N849" s="5">
        <v>42</v>
      </c>
      <c r="O849" s="5">
        <v>9150</v>
      </c>
      <c r="P849" s="5"/>
      <c r="Q849" s="5"/>
      <c r="R849" s="5">
        <v>1</v>
      </c>
      <c r="S849" s="5">
        <v>630</v>
      </c>
      <c r="T849" s="5" t="s">
        <v>48</v>
      </c>
      <c r="U849" s="5">
        <v>900</v>
      </c>
      <c r="V849" s="5">
        <v>0.69</v>
      </c>
      <c r="W849" s="5" t="s">
        <v>84</v>
      </c>
      <c r="X849" s="5">
        <v>49</v>
      </c>
      <c r="Y849" s="5">
        <v>76.3</v>
      </c>
      <c r="Z849" s="5">
        <v>11.8</v>
      </c>
      <c r="AA849" s="5" t="s">
        <v>68</v>
      </c>
      <c r="AB849" s="5"/>
      <c r="AC849" s="5"/>
      <c r="AD849" s="5"/>
      <c r="AE849" s="5"/>
      <c r="AF849" s="5" t="s">
        <v>68</v>
      </c>
      <c r="AG849" s="5"/>
      <c r="AH849" s="5"/>
      <c r="AI849" s="5"/>
      <c r="AJ849" s="5"/>
      <c r="AK849" s="5"/>
      <c r="AL849" s="5"/>
      <c r="AM849" s="5"/>
      <c r="AN849" s="5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</row>
    <row r="850" spans="1:240" ht="30" customHeight="1">
      <c r="A850" s="5">
        <v>848</v>
      </c>
      <c r="B850" s="5" t="s">
        <v>68</v>
      </c>
      <c r="C850" s="5"/>
      <c r="D850" s="5"/>
      <c r="E850" s="5">
        <v>1340</v>
      </c>
      <c r="F850" s="5">
        <v>1374</v>
      </c>
      <c r="G850" s="5">
        <v>1180</v>
      </c>
      <c r="H850" s="5">
        <v>123</v>
      </c>
      <c r="I850" s="5" t="s">
        <v>17</v>
      </c>
      <c r="J850" s="5">
        <v>5.9</v>
      </c>
      <c r="K850" s="30">
        <v>5</v>
      </c>
      <c r="L850" s="5">
        <v>31</v>
      </c>
      <c r="M850" s="31">
        <v>10</v>
      </c>
      <c r="N850" s="5">
        <v>46</v>
      </c>
      <c r="O850" s="5">
        <v>8700</v>
      </c>
      <c r="P850" s="5"/>
      <c r="Q850" s="5"/>
      <c r="R850" s="5">
        <v>1</v>
      </c>
      <c r="S850" s="5">
        <v>630</v>
      </c>
      <c r="T850" s="5" t="s">
        <v>48</v>
      </c>
      <c r="U850" s="5">
        <v>900</v>
      </c>
      <c r="V850" s="5">
        <v>0.69</v>
      </c>
      <c r="W850" s="5" t="s">
        <v>84</v>
      </c>
      <c r="X850" s="5">
        <v>49</v>
      </c>
      <c r="Y850" s="5">
        <v>95.3</v>
      </c>
      <c r="Z850" s="5">
        <v>14.7</v>
      </c>
      <c r="AA850" s="5" t="s">
        <v>68</v>
      </c>
      <c r="AB850" s="5"/>
      <c r="AC850" s="5"/>
      <c r="AD850" s="5"/>
      <c r="AE850" s="5"/>
      <c r="AF850" s="5" t="s">
        <v>68</v>
      </c>
      <c r="AG850" s="5"/>
      <c r="AH850" s="5"/>
      <c r="AI850" s="5"/>
      <c r="AJ850" s="5"/>
      <c r="AK850" s="5"/>
      <c r="AL850" s="5"/>
      <c r="AM850" s="5"/>
      <c r="AN850" s="5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</row>
    <row r="851" spans="1:240" ht="30" customHeight="1">
      <c r="A851" s="5">
        <v>849</v>
      </c>
      <c r="B851" s="5" t="s">
        <v>68</v>
      </c>
      <c r="C851" s="5"/>
      <c r="D851" s="5"/>
      <c r="E851" s="5">
        <v>2500</v>
      </c>
      <c r="F851" s="5">
        <v>1374</v>
      </c>
      <c r="G851" s="5">
        <v>1180</v>
      </c>
      <c r="H851" s="5">
        <v>182</v>
      </c>
      <c r="I851" s="5" t="s">
        <v>17</v>
      </c>
      <c r="J851" s="5">
        <v>9.4</v>
      </c>
      <c r="K851" s="30">
        <v>5</v>
      </c>
      <c r="L851" s="5">
        <v>48</v>
      </c>
      <c r="M851" s="31">
        <v>10</v>
      </c>
      <c r="N851" s="5">
        <v>45</v>
      </c>
      <c r="O851" s="5">
        <v>19100</v>
      </c>
      <c r="P851" s="5"/>
      <c r="Q851" s="5"/>
      <c r="R851" s="5">
        <v>2</v>
      </c>
      <c r="S851" s="5">
        <v>630</v>
      </c>
      <c r="T851" s="5" t="s">
        <v>48</v>
      </c>
      <c r="U851" s="5">
        <v>900</v>
      </c>
      <c r="V851" s="5">
        <v>1.38</v>
      </c>
      <c r="W851" s="5" t="s">
        <v>84</v>
      </c>
      <c r="X851" s="5">
        <v>52</v>
      </c>
      <c r="Y851" s="5">
        <v>117.5</v>
      </c>
      <c r="Z851" s="5">
        <v>17.8</v>
      </c>
      <c r="AA851" s="5" t="s">
        <v>68</v>
      </c>
      <c r="AB851" s="5"/>
      <c r="AC851" s="5"/>
      <c r="AD851" s="5"/>
      <c r="AE851" s="5"/>
      <c r="AF851" s="5" t="s">
        <v>68</v>
      </c>
      <c r="AG851" s="5"/>
      <c r="AH851" s="5"/>
      <c r="AI851" s="5"/>
      <c r="AJ851" s="5"/>
      <c r="AK851" s="5"/>
      <c r="AL851" s="5"/>
      <c r="AM851" s="5"/>
      <c r="AN851" s="5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</row>
    <row r="852" spans="1:240" ht="30" customHeight="1">
      <c r="A852" s="5">
        <v>850</v>
      </c>
      <c r="B852" s="5" t="s">
        <v>68</v>
      </c>
      <c r="C852" s="5"/>
      <c r="D852" s="5"/>
      <c r="E852" s="5">
        <v>2500</v>
      </c>
      <c r="F852" s="5">
        <v>1374</v>
      </c>
      <c r="G852" s="5">
        <v>1180</v>
      </c>
      <c r="H852" s="5">
        <v>196</v>
      </c>
      <c r="I852" s="5" t="s">
        <v>17</v>
      </c>
      <c r="J852" s="5">
        <v>10.9</v>
      </c>
      <c r="K852" s="30">
        <v>5</v>
      </c>
      <c r="L852" s="5">
        <v>56</v>
      </c>
      <c r="M852" s="31">
        <v>10</v>
      </c>
      <c r="N852" s="5">
        <v>35</v>
      </c>
      <c r="O852" s="5">
        <v>18300</v>
      </c>
      <c r="P852" s="5"/>
      <c r="Q852" s="5"/>
      <c r="R852" s="5">
        <v>2</v>
      </c>
      <c r="S852" s="5">
        <v>630</v>
      </c>
      <c r="T852" s="5" t="s">
        <v>48</v>
      </c>
      <c r="U852" s="5">
        <v>900</v>
      </c>
      <c r="V852" s="5">
        <v>1.38</v>
      </c>
      <c r="W852" s="5" t="s">
        <v>84</v>
      </c>
      <c r="X852" s="5">
        <v>52</v>
      </c>
      <c r="Y852" s="5">
        <v>156.6</v>
      </c>
      <c r="Z852" s="5">
        <v>23.7</v>
      </c>
      <c r="AA852" s="5" t="s">
        <v>68</v>
      </c>
      <c r="AB852" s="5"/>
      <c r="AC852" s="5"/>
      <c r="AD852" s="5"/>
      <c r="AE852" s="5"/>
      <c r="AF852" s="5" t="s">
        <v>68</v>
      </c>
      <c r="AG852" s="5"/>
      <c r="AH852" s="5"/>
      <c r="AI852" s="5"/>
      <c r="AJ852" s="5"/>
      <c r="AK852" s="5"/>
      <c r="AL852" s="5"/>
      <c r="AM852" s="5"/>
      <c r="AN852" s="5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</row>
    <row r="853" spans="1:240" ht="30" customHeight="1">
      <c r="A853" s="5">
        <v>851</v>
      </c>
      <c r="B853" s="5" t="s">
        <v>68</v>
      </c>
      <c r="C853" s="5"/>
      <c r="D853" s="5"/>
      <c r="E853" s="5">
        <v>2500</v>
      </c>
      <c r="F853" s="5">
        <v>1374</v>
      </c>
      <c r="G853" s="5">
        <v>1180</v>
      </c>
      <c r="H853" s="5">
        <v>211</v>
      </c>
      <c r="I853" s="5" t="s">
        <v>17</v>
      </c>
      <c r="J853" s="5">
        <v>12.1</v>
      </c>
      <c r="K853" s="30">
        <v>5</v>
      </c>
      <c r="L853" s="5">
        <v>62</v>
      </c>
      <c r="M853" s="31">
        <v>10</v>
      </c>
      <c r="N853" s="5">
        <v>49</v>
      </c>
      <c r="O853" s="5">
        <v>17400</v>
      </c>
      <c r="P853" s="5"/>
      <c r="Q853" s="5"/>
      <c r="R853" s="5">
        <v>2</v>
      </c>
      <c r="S853" s="5">
        <v>630</v>
      </c>
      <c r="T853" s="5" t="s">
        <v>48</v>
      </c>
      <c r="U853" s="5">
        <v>900</v>
      </c>
      <c r="V853" s="5">
        <v>1.38</v>
      </c>
      <c r="W853" s="5" t="s">
        <v>84</v>
      </c>
      <c r="X853" s="5">
        <v>52</v>
      </c>
      <c r="Y853" s="5">
        <v>195.8</v>
      </c>
      <c r="Z853" s="5">
        <v>29.7</v>
      </c>
      <c r="AA853" s="5" t="s">
        <v>68</v>
      </c>
      <c r="AB853" s="5"/>
      <c r="AC853" s="5"/>
      <c r="AD853" s="5"/>
      <c r="AE853" s="5"/>
      <c r="AF853" s="5" t="s">
        <v>68</v>
      </c>
      <c r="AG853" s="5"/>
      <c r="AH853" s="5"/>
      <c r="AI853" s="5"/>
      <c r="AJ853" s="5"/>
      <c r="AK853" s="5"/>
      <c r="AL853" s="5"/>
      <c r="AM853" s="5"/>
      <c r="AN853" s="5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</row>
    <row r="854" spans="1:240" ht="30" customHeight="1">
      <c r="A854" s="5">
        <v>852</v>
      </c>
      <c r="B854" s="5" t="s">
        <v>68</v>
      </c>
      <c r="C854" s="5"/>
      <c r="D854" s="5"/>
      <c r="E854" s="5">
        <v>3660</v>
      </c>
      <c r="F854" s="5">
        <v>1374</v>
      </c>
      <c r="G854" s="5">
        <v>1180</v>
      </c>
      <c r="H854" s="5">
        <v>260</v>
      </c>
      <c r="I854" s="5" t="s">
        <v>17</v>
      </c>
      <c r="J854" s="5">
        <v>14.3</v>
      </c>
      <c r="K854" s="30">
        <v>5</v>
      </c>
      <c r="L854" s="5">
        <v>74</v>
      </c>
      <c r="M854" s="31">
        <v>10</v>
      </c>
      <c r="N854" s="5">
        <v>56</v>
      </c>
      <c r="O854" s="5">
        <v>28650</v>
      </c>
      <c r="P854" s="5"/>
      <c r="Q854" s="5"/>
      <c r="R854" s="5">
        <v>3</v>
      </c>
      <c r="S854" s="5">
        <v>630</v>
      </c>
      <c r="T854" s="5" t="s">
        <v>48</v>
      </c>
      <c r="U854" s="5">
        <v>900</v>
      </c>
      <c r="V854" s="5">
        <v>2.0699999999999998</v>
      </c>
      <c r="W854" s="5" t="s">
        <v>84</v>
      </c>
      <c r="X854" s="5">
        <v>54</v>
      </c>
      <c r="Y854" s="5">
        <v>177.8</v>
      </c>
      <c r="Z854" s="5">
        <v>26.8</v>
      </c>
      <c r="AA854" s="5" t="s">
        <v>68</v>
      </c>
      <c r="AB854" s="5"/>
      <c r="AC854" s="5"/>
      <c r="AD854" s="5"/>
      <c r="AE854" s="5"/>
      <c r="AF854" s="5" t="s">
        <v>68</v>
      </c>
      <c r="AG854" s="5"/>
      <c r="AH854" s="5"/>
      <c r="AI854" s="5"/>
      <c r="AJ854" s="5"/>
      <c r="AK854" s="5"/>
      <c r="AL854" s="5"/>
      <c r="AM854" s="5"/>
      <c r="AN854" s="5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</row>
    <row r="855" spans="1:240" ht="30" customHeight="1">
      <c r="A855" s="5">
        <v>853</v>
      </c>
      <c r="B855" s="5" t="s">
        <v>68</v>
      </c>
      <c r="C855" s="5"/>
      <c r="D855" s="5"/>
      <c r="E855" s="5">
        <v>3660</v>
      </c>
      <c r="F855" s="5">
        <v>1374</v>
      </c>
      <c r="G855" s="5">
        <v>1180</v>
      </c>
      <c r="H855" s="5">
        <v>282</v>
      </c>
      <c r="I855" s="5" t="s">
        <v>17</v>
      </c>
      <c r="J855" s="5">
        <v>16.600000000000001</v>
      </c>
      <c r="K855" s="30">
        <v>5</v>
      </c>
      <c r="L855" s="5">
        <v>85</v>
      </c>
      <c r="M855" s="31">
        <v>10</v>
      </c>
      <c r="N855" s="5">
        <v>44</v>
      </c>
      <c r="O855" s="5">
        <v>27450</v>
      </c>
      <c r="P855" s="5"/>
      <c r="Q855" s="5"/>
      <c r="R855" s="5">
        <v>3</v>
      </c>
      <c r="S855" s="5">
        <v>630</v>
      </c>
      <c r="T855" s="5" t="s">
        <v>48</v>
      </c>
      <c r="U855" s="5">
        <v>900</v>
      </c>
      <c r="V855" s="5">
        <v>2.0699999999999998</v>
      </c>
      <c r="W855" s="5" t="s">
        <v>84</v>
      </c>
      <c r="X855" s="5">
        <v>54</v>
      </c>
      <c r="Y855" s="5">
        <v>237</v>
      </c>
      <c r="Z855" s="5">
        <v>35.700000000000003</v>
      </c>
      <c r="AA855" s="5" t="s">
        <v>68</v>
      </c>
      <c r="AB855" s="5"/>
      <c r="AC855" s="5"/>
      <c r="AD855" s="5"/>
      <c r="AE855" s="5"/>
      <c r="AF855" s="5" t="s">
        <v>68</v>
      </c>
      <c r="AG855" s="5"/>
      <c r="AH855" s="5"/>
      <c r="AI855" s="5"/>
      <c r="AJ855" s="5"/>
      <c r="AK855" s="5"/>
      <c r="AL855" s="5"/>
      <c r="AM855" s="5"/>
      <c r="AN855" s="5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</row>
    <row r="856" spans="1:240" ht="30" customHeight="1">
      <c r="A856" s="5">
        <v>854</v>
      </c>
      <c r="B856" s="5" t="s">
        <v>68</v>
      </c>
      <c r="C856" s="5"/>
      <c r="D856" s="5"/>
      <c r="E856" s="5">
        <v>3660</v>
      </c>
      <c r="F856" s="5">
        <v>1374</v>
      </c>
      <c r="G856" s="5">
        <v>1180</v>
      </c>
      <c r="H856" s="5">
        <v>304</v>
      </c>
      <c r="I856" s="5" t="s">
        <v>17</v>
      </c>
      <c r="J856" s="5">
        <v>18.100000000000001</v>
      </c>
      <c r="K856" s="30">
        <v>5</v>
      </c>
      <c r="L856" s="5">
        <v>93</v>
      </c>
      <c r="M856" s="31">
        <v>10</v>
      </c>
      <c r="N856" s="5">
        <v>36</v>
      </c>
      <c r="O856" s="5">
        <v>26100</v>
      </c>
      <c r="P856" s="5"/>
      <c r="Q856" s="5"/>
      <c r="R856" s="5">
        <v>3</v>
      </c>
      <c r="S856" s="5">
        <v>630</v>
      </c>
      <c r="T856" s="5" t="s">
        <v>48</v>
      </c>
      <c r="U856" s="5">
        <v>900</v>
      </c>
      <c r="V856" s="5">
        <v>2.0699999999999998</v>
      </c>
      <c r="W856" s="5" t="s">
        <v>84</v>
      </c>
      <c r="X856" s="5">
        <v>54</v>
      </c>
      <c r="Y856" s="5">
        <v>296.3</v>
      </c>
      <c r="Z856" s="5">
        <v>44.7</v>
      </c>
      <c r="AA856" s="5" t="s">
        <v>68</v>
      </c>
      <c r="AB856" s="5"/>
      <c r="AC856" s="5"/>
      <c r="AD856" s="5"/>
      <c r="AE856" s="5"/>
      <c r="AF856" s="5" t="s">
        <v>68</v>
      </c>
      <c r="AG856" s="5"/>
      <c r="AH856" s="5"/>
      <c r="AI856" s="5"/>
      <c r="AJ856" s="5"/>
      <c r="AK856" s="5"/>
      <c r="AL856" s="5"/>
      <c r="AM856" s="5"/>
      <c r="AN856" s="5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</row>
    <row r="857" spans="1:240" ht="30" customHeight="1">
      <c r="A857" s="5">
        <v>855</v>
      </c>
      <c r="B857" s="5" t="s">
        <v>68</v>
      </c>
      <c r="C857" s="5"/>
      <c r="D857" s="5"/>
      <c r="E857" s="5">
        <v>4820</v>
      </c>
      <c r="F857" s="5">
        <v>1374</v>
      </c>
      <c r="G857" s="5">
        <v>1180</v>
      </c>
      <c r="H857" s="5">
        <v>333</v>
      </c>
      <c r="I857" s="5" t="s">
        <v>17</v>
      </c>
      <c r="J857" s="5">
        <v>18.899999999999999</v>
      </c>
      <c r="K857" s="30">
        <v>5</v>
      </c>
      <c r="L857" s="5">
        <v>98</v>
      </c>
      <c r="M857" s="31">
        <v>10</v>
      </c>
      <c r="N857" s="5">
        <v>42</v>
      </c>
      <c r="O857" s="5">
        <v>38200</v>
      </c>
      <c r="P857" s="5"/>
      <c r="Q857" s="5"/>
      <c r="R857" s="5">
        <v>4</v>
      </c>
      <c r="S857" s="5">
        <v>630</v>
      </c>
      <c r="T857" s="5" t="s">
        <v>48</v>
      </c>
      <c r="U857" s="5">
        <v>900</v>
      </c>
      <c r="V857" s="5">
        <v>2.76</v>
      </c>
      <c r="W857" s="5" t="s">
        <v>84</v>
      </c>
      <c r="X857" s="5">
        <v>55</v>
      </c>
      <c r="Y857" s="5">
        <v>238</v>
      </c>
      <c r="Z857" s="5">
        <v>35.799999999999997</v>
      </c>
      <c r="AA857" s="5" t="s">
        <v>68</v>
      </c>
      <c r="AB857" s="5"/>
      <c r="AC857" s="5"/>
      <c r="AD857" s="5"/>
      <c r="AE857" s="5"/>
      <c r="AF857" s="5" t="s">
        <v>68</v>
      </c>
      <c r="AG857" s="5"/>
      <c r="AH857" s="5"/>
      <c r="AI857" s="5"/>
      <c r="AJ857" s="5"/>
      <c r="AK857" s="5"/>
      <c r="AL857" s="5"/>
      <c r="AM857" s="5"/>
      <c r="AN857" s="5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</row>
    <row r="858" spans="1:240" ht="30" customHeight="1">
      <c r="A858" s="5">
        <v>856</v>
      </c>
      <c r="B858" s="5" t="s">
        <v>68</v>
      </c>
      <c r="C858" s="5"/>
      <c r="D858" s="5"/>
      <c r="E858" s="5">
        <v>4820</v>
      </c>
      <c r="F858" s="5">
        <v>1374</v>
      </c>
      <c r="G858" s="5">
        <v>1180</v>
      </c>
      <c r="H858" s="5">
        <v>363</v>
      </c>
      <c r="I858" s="5" t="s">
        <v>17</v>
      </c>
      <c r="J858" s="5">
        <v>21.9</v>
      </c>
      <c r="K858" s="30">
        <v>5</v>
      </c>
      <c r="L858" s="5">
        <v>113</v>
      </c>
      <c r="M858" s="31">
        <v>10</v>
      </c>
      <c r="N858" s="5">
        <v>32</v>
      </c>
      <c r="O858" s="5">
        <v>36600</v>
      </c>
      <c r="P858" s="5"/>
      <c r="Q858" s="5"/>
      <c r="R858" s="5">
        <v>4</v>
      </c>
      <c r="S858" s="5">
        <v>630</v>
      </c>
      <c r="T858" s="5" t="s">
        <v>48</v>
      </c>
      <c r="U858" s="5">
        <v>900</v>
      </c>
      <c r="V858" s="5">
        <v>2.76</v>
      </c>
      <c r="W858" s="5" t="s">
        <v>84</v>
      </c>
      <c r="X858" s="5">
        <v>55</v>
      </c>
      <c r="Y858" s="5">
        <v>317.39999999999998</v>
      </c>
      <c r="Z858" s="5">
        <v>47.7</v>
      </c>
      <c r="AA858" s="5" t="s">
        <v>68</v>
      </c>
      <c r="AB858" s="5"/>
      <c r="AC858" s="5"/>
      <c r="AD858" s="5"/>
      <c r="AE858" s="5"/>
      <c r="AF858" s="5" t="s">
        <v>68</v>
      </c>
      <c r="AG858" s="5"/>
      <c r="AH858" s="5"/>
      <c r="AI858" s="5"/>
      <c r="AJ858" s="5"/>
      <c r="AK858" s="5"/>
      <c r="AL858" s="5"/>
      <c r="AM858" s="5"/>
      <c r="AN858" s="5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</row>
    <row r="859" spans="1:240" ht="30" customHeight="1">
      <c r="A859" s="5">
        <v>857</v>
      </c>
      <c r="B859" s="5" t="s">
        <v>68</v>
      </c>
      <c r="C859" s="5"/>
      <c r="D859" s="5"/>
      <c r="E859" s="5">
        <v>4820</v>
      </c>
      <c r="F859" s="5">
        <v>1374</v>
      </c>
      <c r="G859" s="5">
        <v>1180</v>
      </c>
      <c r="H859" s="5">
        <v>393</v>
      </c>
      <c r="I859" s="5" t="s">
        <v>17</v>
      </c>
      <c r="J859" s="5">
        <v>23.8</v>
      </c>
      <c r="K859" s="30">
        <v>5</v>
      </c>
      <c r="L859" s="5">
        <v>123</v>
      </c>
      <c r="M859" s="31">
        <v>10</v>
      </c>
      <c r="N859" s="5">
        <v>25</v>
      </c>
      <c r="O859" s="5">
        <v>34800</v>
      </c>
      <c r="P859" s="5"/>
      <c r="Q859" s="5"/>
      <c r="R859" s="5">
        <v>4</v>
      </c>
      <c r="S859" s="5">
        <v>630</v>
      </c>
      <c r="T859" s="5" t="s">
        <v>48</v>
      </c>
      <c r="U859" s="5">
        <v>900</v>
      </c>
      <c r="V859" s="5">
        <v>2.76</v>
      </c>
      <c r="W859" s="5" t="s">
        <v>84</v>
      </c>
      <c r="X859" s="5">
        <v>55</v>
      </c>
      <c r="Y859" s="5">
        <v>396.8</v>
      </c>
      <c r="Z859" s="5">
        <v>59.6</v>
      </c>
      <c r="AA859" s="5" t="s">
        <v>68</v>
      </c>
      <c r="AB859" s="5"/>
      <c r="AC859" s="5"/>
      <c r="AD859" s="5"/>
      <c r="AE859" s="5"/>
      <c r="AF859" s="5" t="s">
        <v>68</v>
      </c>
      <c r="AG859" s="5"/>
      <c r="AH859" s="5"/>
      <c r="AI859" s="5"/>
      <c r="AJ859" s="5"/>
      <c r="AK859" s="5"/>
      <c r="AL859" s="5"/>
      <c r="AM859" s="5"/>
      <c r="AN859" s="5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</row>
    <row r="860" spans="1:240" ht="30" customHeight="1">
      <c r="A860" s="5">
        <v>858</v>
      </c>
      <c r="B860" s="5" t="s">
        <v>68</v>
      </c>
      <c r="C860" s="5"/>
      <c r="D860" s="5"/>
      <c r="E860" s="5">
        <v>3660</v>
      </c>
      <c r="F860" s="5">
        <v>1374</v>
      </c>
      <c r="G860" s="5">
        <v>1180</v>
      </c>
      <c r="H860" s="5">
        <v>520</v>
      </c>
      <c r="I860" s="5" t="s">
        <v>17</v>
      </c>
      <c r="J860" s="5">
        <v>28.6</v>
      </c>
      <c r="K860" s="30">
        <v>5</v>
      </c>
      <c r="L860" s="5">
        <v>147</v>
      </c>
      <c r="M860" s="31">
        <v>10</v>
      </c>
      <c r="N860" s="5">
        <v>56</v>
      </c>
      <c r="O860" s="5">
        <v>57300</v>
      </c>
      <c r="P860" s="5"/>
      <c r="Q860" s="5"/>
      <c r="R860" s="5">
        <v>6</v>
      </c>
      <c r="S860" s="5">
        <v>630</v>
      </c>
      <c r="T860" s="5" t="s">
        <v>48</v>
      </c>
      <c r="U860" s="5">
        <v>900</v>
      </c>
      <c r="V860" s="5">
        <v>4.1399999999999997</v>
      </c>
      <c r="W860" s="5" t="s">
        <v>84</v>
      </c>
      <c r="X860" s="5">
        <v>57</v>
      </c>
      <c r="Y860" s="5">
        <v>355.6</v>
      </c>
      <c r="Z860" s="5">
        <v>53.6</v>
      </c>
      <c r="AA860" s="5" t="s">
        <v>68</v>
      </c>
      <c r="AB860" s="5"/>
      <c r="AC860" s="5"/>
      <c r="AD860" s="5"/>
      <c r="AE860" s="5"/>
      <c r="AF860" s="5" t="s">
        <v>68</v>
      </c>
      <c r="AG860" s="5"/>
      <c r="AH860" s="5"/>
      <c r="AI860" s="5"/>
      <c r="AJ860" s="5"/>
      <c r="AK860" s="5"/>
      <c r="AL860" s="5"/>
      <c r="AM860" s="5"/>
      <c r="AN860" s="5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</row>
    <row r="861" spans="1:240" ht="30" customHeight="1">
      <c r="A861" s="5">
        <v>859</v>
      </c>
      <c r="B861" s="5" t="s">
        <v>68</v>
      </c>
      <c r="C861" s="5"/>
      <c r="D861" s="5"/>
      <c r="E861" s="5">
        <v>3660</v>
      </c>
      <c r="F861" s="5">
        <v>1374</v>
      </c>
      <c r="G861" s="5">
        <v>1180</v>
      </c>
      <c r="H861" s="5">
        <v>564</v>
      </c>
      <c r="I861" s="5" t="s">
        <v>17</v>
      </c>
      <c r="J861" s="5">
        <v>33.1</v>
      </c>
      <c r="K861" s="30">
        <v>5</v>
      </c>
      <c r="L861" s="5">
        <v>171</v>
      </c>
      <c r="M861" s="31">
        <v>10</v>
      </c>
      <c r="N861" s="5">
        <v>44</v>
      </c>
      <c r="O861" s="5">
        <v>54900</v>
      </c>
      <c r="P861" s="5"/>
      <c r="Q861" s="5"/>
      <c r="R861" s="5">
        <v>6</v>
      </c>
      <c r="S861" s="5">
        <v>630</v>
      </c>
      <c r="T861" s="5" t="s">
        <v>48</v>
      </c>
      <c r="U861" s="5">
        <v>900</v>
      </c>
      <c r="V861" s="5">
        <v>4.1399999999999997</v>
      </c>
      <c r="W861" s="5" t="s">
        <v>84</v>
      </c>
      <c r="X861" s="5">
        <v>57</v>
      </c>
      <c r="Y861" s="5">
        <v>474</v>
      </c>
      <c r="Z861" s="5">
        <v>71.400000000000006</v>
      </c>
      <c r="AA861" s="5" t="s">
        <v>68</v>
      </c>
      <c r="AB861" s="5"/>
      <c r="AC861" s="5"/>
      <c r="AD861" s="5"/>
      <c r="AE861" s="5"/>
      <c r="AF861" s="5" t="s">
        <v>68</v>
      </c>
      <c r="AG861" s="5"/>
      <c r="AH861" s="5"/>
      <c r="AI861" s="5"/>
      <c r="AJ861" s="5"/>
      <c r="AK861" s="5"/>
      <c r="AL861" s="5"/>
      <c r="AM861" s="5"/>
      <c r="AN861" s="5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</row>
    <row r="862" spans="1:240" ht="30" customHeight="1">
      <c r="A862" s="5">
        <v>860</v>
      </c>
      <c r="B862" s="5" t="s">
        <v>68</v>
      </c>
      <c r="C862" s="5"/>
      <c r="D862" s="5"/>
      <c r="E862" s="5">
        <v>3660</v>
      </c>
      <c r="F862" s="5">
        <v>1374</v>
      </c>
      <c r="G862" s="5">
        <v>1180</v>
      </c>
      <c r="H862" s="5">
        <v>608</v>
      </c>
      <c r="I862" s="5" t="s">
        <v>17</v>
      </c>
      <c r="J862" s="5">
        <v>36.1</v>
      </c>
      <c r="K862" s="30">
        <v>5</v>
      </c>
      <c r="L862" s="5">
        <v>186</v>
      </c>
      <c r="M862" s="31">
        <v>10</v>
      </c>
      <c r="N862" s="5">
        <v>36</v>
      </c>
      <c r="O862" s="5">
        <v>52200</v>
      </c>
      <c r="P862" s="5"/>
      <c r="Q862" s="5"/>
      <c r="R862" s="5">
        <v>6</v>
      </c>
      <c r="S862" s="5">
        <v>630</v>
      </c>
      <c r="T862" s="5" t="s">
        <v>48</v>
      </c>
      <c r="U862" s="5">
        <v>900</v>
      </c>
      <c r="V862" s="5">
        <v>4.1399999999999997</v>
      </c>
      <c r="W862" s="5" t="s">
        <v>84</v>
      </c>
      <c r="X862" s="5">
        <v>57</v>
      </c>
      <c r="Y862" s="5">
        <v>592.6</v>
      </c>
      <c r="Z862" s="5">
        <v>89.4</v>
      </c>
      <c r="AA862" s="5" t="s">
        <v>68</v>
      </c>
      <c r="AB862" s="5"/>
      <c r="AC862" s="5"/>
      <c r="AD862" s="5"/>
      <c r="AE862" s="5"/>
      <c r="AF862" s="5" t="s">
        <v>68</v>
      </c>
      <c r="AG862" s="5"/>
      <c r="AH862" s="5"/>
      <c r="AI862" s="5"/>
      <c r="AJ862" s="5"/>
      <c r="AK862" s="5"/>
      <c r="AL862" s="5"/>
      <c r="AM862" s="5"/>
      <c r="AN862" s="5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</row>
    <row r="863" spans="1:240" ht="30" customHeight="1">
      <c r="A863" s="5">
        <v>861</v>
      </c>
      <c r="B863" s="5" t="s">
        <v>68</v>
      </c>
      <c r="C863" s="5"/>
      <c r="D863" s="5"/>
      <c r="E863" s="5">
        <v>4820</v>
      </c>
      <c r="F863" s="5">
        <v>1374</v>
      </c>
      <c r="G863" s="5">
        <v>1180</v>
      </c>
      <c r="H863" s="5">
        <v>666</v>
      </c>
      <c r="I863" s="5" t="s">
        <v>17</v>
      </c>
      <c r="J863" s="5">
        <v>37.799999999999997</v>
      </c>
      <c r="K863" s="30">
        <v>5</v>
      </c>
      <c r="L863" s="5">
        <v>195</v>
      </c>
      <c r="M863" s="31">
        <v>10</v>
      </c>
      <c r="N863" s="5">
        <v>42</v>
      </c>
      <c r="O863" s="5">
        <v>76400</v>
      </c>
      <c r="P863" s="5"/>
      <c r="Q863" s="5"/>
      <c r="R863" s="5">
        <v>8</v>
      </c>
      <c r="S863" s="5">
        <v>630</v>
      </c>
      <c r="T863" s="5" t="s">
        <v>48</v>
      </c>
      <c r="U863" s="5">
        <v>900</v>
      </c>
      <c r="V863" s="5">
        <v>5.52</v>
      </c>
      <c r="W863" s="5" t="s">
        <v>84</v>
      </c>
      <c r="X863" s="5">
        <v>58</v>
      </c>
      <c r="Y863" s="5">
        <v>476</v>
      </c>
      <c r="Z863" s="5">
        <v>71.599999999999994</v>
      </c>
      <c r="AA863" s="5" t="s">
        <v>68</v>
      </c>
      <c r="AB863" s="5"/>
      <c r="AC863" s="5"/>
      <c r="AD863" s="5"/>
      <c r="AE863" s="5"/>
      <c r="AF863" s="5" t="s">
        <v>68</v>
      </c>
      <c r="AG863" s="5"/>
      <c r="AH863" s="5"/>
      <c r="AI863" s="5"/>
      <c r="AJ863" s="5"/>
      <c r="AK863" s="5"/>
      <c r="AL863" s="5"/>
      <c r="AM863" s="5"/>
      <c r="AN863" s="5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</row>
    <row r="864" spans="1:240" ht="30" customHeight="1">
      <c r="A864" s="5">
        <v>862</v>
      </c>
      <c r="B864" s="5" t="s">
        <v>68</v>
      </c>
      <c r="C864" s="5"/>
      <c r="D864" s="5"/>
      <c r="E864" s="5">
        <v>4820</v>
      </c>
      <c r="F864" s="5">
        <v>1374</v>
      </c>
      <c r="G864" s="5">
        <v>1180</v>
      </c>
      <c r="H864" s="5">
        <v>726</v>
      </c>
      <c r="I864" s="5" t="s">
        <v>17</v>
      </c>
      <c r="J864" s="5">
        <v>43.9</v>
      </c>
      <c r="K864" s="30">
        <v>5</v>
      </c>
      <c r="L864" s="5">
        <v>226</v>
      </c>
      <c r="M864" s="31">
        <v>10</v>
      </c>
      <c r="N864" s="5">
        <v>32</v>
      </c>
      <c r="O864" s="5">
        <v>73200</v>
      </c>
      <c r="P864" s="5"/>
      <c r="Q864" s="5"/>
      <c r="R864" s="5">
        <v>8</v>
      </c>
      <c r="S864" s="5">
        <v>630</v>
      </c>
      <c r="T864" s="5" t="s">
        <v>48</v>
      </c>
      <c r="U864" s="5">
        <v>900</v>
      </c>
      <c r="V864" s="5">
        <v>5.52</v>
      </c>
      <c r="W864" s="5" t="s">
        <v>84</v>
      </c>
      <c r="X864" s="5">
        <v>58</v>
      </c>
      <c r="Y864" s="5">
        <v>634.79999999999995</v>
      </c>
      <c r="Z864" s="5">
        <v>95.4</v>
      </c>
      <c r="AA864" s="5" t="s">
        <v>68</v>
      </c>
      <c r="AB864" s="5"/>
      <c r="AC864" s="5"/>
      <c r="AD864" s="5"/>
      <c r="AE864" s="5"/>
      <c r="AF864" s="5" t="s">
        <v>68</v>
      </c>
      <c r="AG864" s="5"/>
      <c r="AH864" s="5"/>
      <c r="AI864" s="5"/>
      <c r="AJ864" s="5"/>
      <c r="AK864" s="5"/>
      <c r="AL864" s="5"/>
      <c r="AM864" s="5"/>
      <c r="AN864" s="5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</row>
    <row r="865" spans="1:240" ht="30" customHeight="1">
      <c r="A865" s="5">
        <v>863</v>
      </c>
      <c r="B865" s="5" t="s">
        <v>68</v>
      </c>
      <c r="C865" s="5"/>
      <c r="D865" s="5"/>
      <c r="E865" s="5">
        <v>4820</v>
      </c>
      <c r="F865" s="5">
        <v>1374</v>
      </c>
      <c r="G865" s="5">
        <v>1180</v>
      </c>
      <c r="H865" s="5">
        <v>786</v>
      </c>
      <c r="I865" s="5" t="s">
        <v>17</v>
      </c>
      <c r="J865" s="5">
        <v>47.7</v>
      </c>
      <c r="K865" s="30">
        <v>5</v>
      </c>
      <c r="L865" s="5">
        <v>246</v>
      </c>
      <c r="M865" s="31">
        <v>10</v>
      </c>
      <c r="N865" s="5">
        <v>25</v>
      </c>
      <c r="O865" s="5">
        <v>69600</v>
      </c>
      <c r="P865" s="5"/>
      <c r="Q865" s="5"/>
      <c r="R865" s="5">
        <v>8</v>
      </c>
      <c r="S865" s="5">
        <v>630</v>
      </c>
      <c r="T865" s="5" t="s">
        <v>48</v>
      </c>
      <c r="U865" s="5">
        <v>900</v>
      </c>
      <c r="V865" s="5">
        <v>5.52</v>
      </c>
      <c r="W865" s="5" t="s">
        <v>84</v>
      </c>
      <c r="X865" s="5">
        <v>58</v>
      </c>
      <c r="Y865" s="5">
        <v>793.6</v>
      </c>
      <c r="Z865" s="5">
        <v>119.2</v>
      </c>
      <c r="AA865" s="5" t="s">
        <v>68</v>
      </c>
      <c r="AB865" s="5"/>
      <c r="AC865" s="5"/>
      <c r="AD865" s="5"/>
      <c r="AE865" s="5"/>
      <c r="AF865" s="5" t="s">
        <v>68</v>
      </c>
      <c r="AG865" s="5"/>
      <c r="AH865" s="5"/>
      <c r="AI865" s="5"/>
      <c r="AJ865" s="5"/>
      <c r="AK865" s="5"/>
      <c r="AL865" s="5"/>
      <c r="AM865" s="5"/>
      <c r="AN865" s="5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</row>
    <row r="866" spans="1:240" ht="30" customHeight="1">
      <c r="A866" s="5">
        <v>864</v>
      </c>
      <c r="B866" s="5" t="s">
        <v>68</v>
      </c>
      <c r="C866" s="5"/>
      <c r="D866" s="5"/>
      <c r="E866" s="5">
        <v>1663</v>
      </c>
      <c r="F866" s="5">
        <v>1374</v>
      </c>
      <c r="G866" s="5">
        <v>1180</v>
      </c>
      <c r="H866" s="14">
        <v>170</v>
      </c>
      <c r="I866" s="5" t="s">
        <v>17</v>
      </c>
      <c r="J866" s="5">
        <v>9.1999999999999993</v>
      </c>
      <c r="K866" s="30">
        <v>5</v>
      </c>
      <c r="L866" s="5">
        <v>47</v>
      </c>
      <c r="M866" s="31">
        <v>10</v>
      </c>
      <c r="N866" s="5">
        <v>48</v>
      </c>
      <c r="O866" s="5">
        <v>20400</v>
      </c>
      <c r="P866" s="5"/>
      <c r="Q866" s="5"/>
      <c r="R866" s="5">
        <v>1</v>
      </c>
      <c r="S866" s="5">
        <v>910</v>
      </c>
      <c r="T866" s="5" t="s">
        <v>48</v>
      </c>
      <c r="U866" s="5">
        <v>885</v>
      </c>
      <c r="V866" s="5">
        <v>1.45</v>
      </c>
      <c r="W866" s="5" t="s">
        <v>84</v>
      </c>
      <c r="X866" s="5">
        <v>56</v>
      </c>
      <c r="Y866" s="5">
        <v>98.8</v>
      </c>
      <c r="Z866" s="5">
        <v>17.899999999999999</v>
      </c>
      <c r="AA866" s="5" t="s">
        <v>68</v>
      </c>
      <c r="AB866" s="5"/>
      <c r="AC866" s="5"/>
      <c r="AD866" s="5"/>
      <c r="AE866" s="5"/>
      <c r="AF866" s="5" t="s">
        <v>68</v>
      </c>
      <c r="AG866" s="5"/>
      <c r="AH866" s="5"/>
      <c r="AI866" s="5"/>
      <c r="AJ866" s="5"/>
      <c r="AK866" s="5"/>
      <c r="AL866" s="5"/>
      <c r="AM866" s="5"/>
      <c r="AN866" s="5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</row>
    <row r="867" spans="1:240" ht="30" customHeight="1">
      <c r="A867" s="5">
        <v>865</v>
      </c>
      <c r="B867" s="5" t="s">
        <v>68</v>
      </c>
      <c r="C867" s="5"/>
      <c r="D867" s="5"/>
      <c r="E867" s="5">
        <v>1663</v>
      </c>
      <c r="F867" s="5">
        <v>1374</v>
      </c>
      <c r="G867" s="5">
        <v>1180</v>
      </c>
      <c r="H867" s="5">
        <v>181</v>
      </c>
      <c r="I867" s="5" t="s">
        <v>17</v>
      </c>
      <c r="J867" s="5">
        <v>10.7</v>
      </c>
      <c r="K867" s="30">
        <v>5</v>
      </c>
      <c r="L867" s="5">
        <v>55</v>
      </c>
      <c r="M867" s="31">
        <v>10</v>
      </c>
      <c r="N867" s="5">
        <v>37</v>
      </c>
      <c r="O867" s="5">
        <v>19350</v>
      </c>
      <c r="P867" s="5"/>
      <c r="Q867" s="5"/>
      <c r="R867" s="5">
        <v>1</v>
      </c>
      <c r="S867" s="5">
        <v>910</v>
      </c>
      <c r="T867" s="5" t="s">
        <v>48</v>
      </c>
      <c r="U867" s="5">
        <v>885</v>
      </c>
      <c r="V867" s="5">
        <v>1.45</v>
      </c>
      <c r="W867" s="5" t="s">
        <v>84</v>
      </c>
      <c r="X867" s="5">
        <v>56</v>
      </c>
      <c r="Y867" s="5">
        <v>131.80000000000001</v>
      </c>
      <c r="Z867" s="5">
        <v>23.2</v>
      </c>
      <c r="AA867" s="5" t="s">
        <v>68</v>
      </c>
      <c r="AB867" s="5"/>
      <c r="AC867" s="5"/>
      <c r="AD867" s="5"/>
      <c r="AE867" s="5"/>
      <c r="AF867" s="5" t="s">
        <v>68</v>
      </c>
      <c r="AG867" s="5"/>
      <c r="AH867" s="5"/>
      <c r="AI867" s="5"/>
      <c r="AJ867" s="5"/>
      <c r="AK867" s="5"/>
      <c r="AL867" s="5"/>
      <c r="AM867" s="5"/>
      <c r="AN867" s="5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</row>
    <row r="868" spans="1:240" ht="30" customHeight="1">
      <c r="A868" s="5">
        <v>866</v>
      </c>
      <c r="B868" s="5" t="s">
        <v>68</v>
      </c>
      <c r="C868" s="5"/>
      <c r="D868" s="5"/>
      <c r="E868" s="5">
        <v>1663</v>
      </c>
      <c r="F868" s="5">
        <v>1374</v>
      </c>
      <c r="G868" s="5">
        <v>1180</v>
      </c>
      <c r="H868" s="5">
        <v>203</v>
      </c>
      <c r="I868" s="5" t="s">
        <v>17</v>
      </c>
      <c r="J868" s="5">
        <v>12.7</v>
      </c>
      <c r="K868" s="30">
        <v>5</v>
      </c>
      <c r="L868" s="5">
        <v>65</v>
      </c>
      <c r="M868" s="31">
        <v>10</v>
      </c>
      <c r="N868" s="5">
        <v>37</v>
      </c>
      <c r="O868" s="5">
        <v>17700</v>
      </c>
      <c r="P868" s="5"/>
      <c r="Q868" s="5"/>
      <c r="R868" s="5">
        <v>1</v>
      </c>
      <c r="S868" s="5">
        <v>910</v>
      </c>
      <c r="T868" s="5" t="s">
        <v>48</v>
      </c>
      <c r="U868" s="5">
        <v>885</v>
      </c>
      <c r="V868" s="5">
        <v>1.45</v>
      </c>
      <c r="W868" s="5" t="s">
        <v>84</v>
      </c>
      <c r="X868" s="5">
        <v>56</v>
      </c>
      <c r="Y868" s="5">
        <v>197.7</v>
      </c>
      <c r="Z868" s="5">
        <v>33.6</v>
      </c>
      <c r="AA868" s="5" t="s">
        <v>68</v>
      </c>
      <c r="AB868" s="5"/>
      <c r="AC868" s="5"/>
      <c r="AD868" s="5"/>
      <c r="AE868" s="5"/>
      <c r="AF868" s="5" t="s">
        <v>68</v>
      </c>
      <c r="AG868" s="5"/>
      <c r="AH868" s="5"/>
      <c r="AI868" s="5"/>
      <c r="AJ868" s="5"/>
      <c r="AK868" s="5"/>
      <c r="AL868" s="5"/>
      <c r="AM868" s="5"/>
      <c r="AN868" s="5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</row>
    <row r="869" spans="1:240" ht="30" customHeight="1">
      <c r="A869" s="5">
        <v>867</v>
      </c>
      <c r="B869" s="5" t="s">
        <v>68</v>
      </c>
      <c r="C869" s="5"/>
      <c r="D869" s="5"/>
      <c r="E869" s="5">
        <v>3063</v>
      </c>
      <c r="F869" s="5">
        <v>1374</v>
      </c>
      <c r="G869" s="5">
        <v>1180</v>
      </c>
      <c r="H869" s="5">
        <v>295</v>
      </c>
      <c r="I869" s="5" t="s">
        <v>17</v>
      </c>
      <c r="J869" s="5">
        <v>18.600000000000001</v>
      </c>
      <c r="K869" s="30">
        <v>5</v>
      </c>
      <c r="L869" s="5">
        <v>96</v>
      </c>
      <c r="M869" s="31">
        <v>10</v>
      </c>
      <c r="N869" s="5">
        <v>42</v>
      </c>
      <c r="O869" s="5">
        <v>40800</v>
      </c>
      <c r="P869" s="5"/>
      <c r="Q869" s="5"/>
      <c r="R869" s="5">
        <v>2</v>
      </c>
      <c r="S869" s="5">
        <v>910</v>
      </c>
      <c r="T869" s="5" t="s">
        <v>48</v>
      </c>
      <c r="U869" s="5">
        <v>885</v>
      </c>
      <c r="V869" s="5">
        <v>2.9</v>
      </c>
      <c r="W869" s="5" t="s">
        <v>84</v>
      </c>
      <c r="X869" s="5">
        <v>59</v>
      </c>
      <c r="Y869" s="5">
        <v>197.7</v>
      </c>
      <c r="Z869" s="5">
        <v>34.6</v>
      </c>
      <c r="AA869" s="5" t="s">
        <v>68</v>
      </c>
      <c r="AB869" s="5"/>
      <c r="AC869" s="5"/>
      <c r="AD869" s="5"/>
      <c r="AE869" s="5"/>
      <c r="AF869" s="5" t="s">
        <v>68</v>
      </c>
      <c r="AG869" s="5"/>
      <c r="AH869" s="5"/>
      <c r="AI869" s="5"/>
      <c r="AJ869" s="5"/>
      <c r="AK869" s="5"/>
      <c r="AL869" s="5"/>
      <c r="AM869" s="5"/>
      <c r="AN869" s="5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</row>
    <row r="870" spans="1:240" ht="30" customHeight="1">
      <c r="A870" s="5">
        <v>868</v>
      </c>
      <c r="B870" s="5" t="s">
        <v>68</v>
      </c>
      <c r="C870" s="5"/>
      <c r="D870" s="5"/>
      <c r="E870" s="5">
        <v>3063</v>
      </c>
      <c r="F870" s="5">
        <v>1374</v>
      </c>
      <c r="G870" s="5">
        <v>1180</v>
      </c>
      <c r="H870" s="5">
        <v>320</v>
      </c>
      <c r="I870" s="5" t="s">
        <v>17</v>
      </c>
      <c r="J870" s="5">
        <v>21.6</v>
      </c>
      <c r="K870" s="30">
        <v>5</v>
      </c>
      <c r="L870" s="5">
        <v>111</v>
      </c>
      <c r="M870" s="31">
        <v>10</v>
      </c>
      <c r="N870" s="5">
        <v>33</v>
      </c>
      <c r="O870" s="5">
        <v>38700</v>
      </c>
      <c r="P870" s="5"/>
      <c r="Q870" s="5"/>
      <c r="R870" s="5">
        <v>2</v>
      </c>
      <c r="S870" s="5">
        <v>910</v>
      </c>
      <c r="T870" s="5" t="s">
        <v>48</v>
      </c>
      <c r="U870" s="5">
        <v>885</v>
      </c>
      <c r="V870" s="5">
        <v>2.9</v>
      </c>
      <c r="W870" s="5" t="s">
        <v>84</v>
      </c>
      <c r="X870" s="5">
        <v>59</v>
      </c>
      <c r="Y870" s="5">
        <v>263.5</v>
      </c>
      <c r="Z870" s="5">
        <v>46.3</v>
      </c>
      <c r="AA870" s="5" t="s">
        <v>68</v>
      </c>
      <c r="AB870" s="5"/>
      <c r="AC870" s="5"/>
      <c r="AD870" s="5"/>
      <c r="AE870" s="5"/>
      <c r="AF870" s="5" t="s">
        <v>68</v>
      </c>
      <c r="AG870" s="5"/>
      <c r="AH870" s="5"/>
      <c r="AI870" s="5"/>
      <c r="AJ870" s="5"/>
      <c r="AK870" s="5"/>
      <c r="AL870" s="5"/>
      <c r="AM870" s="5"/>
      <c r="AN870" s="5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</row>
    <row r="871" spans="1:240" ht="30" customHeight="1">
      <c r="A871" s="5">
        <v>869</v>
      </c>
      <c r="B871" s="5" t="s">
        <v>68</v>
      </c>
      <c r="C871" s="5"/>
      <c r="D871" s="5"/>
      <c r="E871" s="5">
        <v>3063</v>
      </c>
      <c r="F871" s="5">
        <v>1374</v>
      </c>
      <c r="G871" s="5">
        <v>1180</v>
      </c>
      <c r="H871" s="5">
        <v>370</v>
      </c>
      <c r="I871" s="5" t="s">
        <v>17</v>
      </c>
      <c r="J871" s="5">
        <v>25.9</v>
      </c>
      <c r="K871" s="30">
        <v>5</v>
      </c>
      <c r="L871" s="5">
        <v>133</v>
      </c>
      <c r="M871" s="31">
        <v>10</v>
      </c>
      <c r="N871" s="5">
        <v>47</v>
      </c>
      <c r="O871" s="5">
        <v>35400</v>
      </c>
      <c r="P871" s="5"/>
      <c r="Q871" s="5"/>
      <c r="R871" s="5">
        <v>2</v>
      </c>
      <c r="S871" s="5">
        <v>910</v>
      </c>
      <c r="T871" s="5" t="s">
        <v>48</v>
      </c>
      <c r="U871" s="5">
        <v>885</v>
      </c>
      <c r="V871" s="5">
        <v>2.9</v>
      </c>
      <c r="W871" s="5" t="s">
        <v>84</v>
      </c>
      <c r="X871" s="5">
        <v>59</v>
      </c>
      <c r="Y871" s="5">
        <v>395.3</v>
      </c>
      <c r="Z871" s="5">
        <v>67.3</v>
      </c>
      <c r="AA871" s="5" t="s">
        <v>68</v>
      </c>
      <c r="AB871" s="5"/>
      <c r="AC871" s="5"/>
      <c r="AD871" s="5"/>
      <c r="AE871" s="5"/>
      <c r="AF871" s="5" t="s">
        <v>68</v>
      </c>
      <c r="AG871" s="5"/>
      <c r="AH871" s="5"/>
      <c r="AI871" s="5"/>
      <c r="AJ871" s="5"/>
      <c r="AK871" s="5"/>
      <c r="AL871" s="5"/>
      <c r="AM871" s="5"/>
      <c r="AN871" s="5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</row>
    <row r="872" spans="1:240" ht="30" customHeight="1">
      <c r="A872" s="5">
        <v>870</v>
      </c>
      <c r="B872" s="5" t="s">
        <v>68</v>
      </c>
      <c r="C872" s="5"/>
      <c r="D872" s="5"/>
      <c r="E872" s="5">
        <v>4493</v>
      </c>
      <c r="F872" s="5">
        <v>1374</v>
      </c>
      <c r="G872" s="5">
        <v>1180</v>
      </c>
      <c r="H872" s="5">
        <v>418</v>
      </c>
      <c r="I872" s="5" t="s">
        <v>17</v>
      </c>
      <c r="J872" s="5">
        <v>27.9</v>
      </c>
      <c r="K872" s="30">
        <v>5</v>
      </c>
      <c r="L872" s="5">
        <v>144</v>
      </c>
      <c r="M872" s="31">
        <v>10</v>
      </c>
      <c r="N872" s="5">
        <v>40</v>
      </c>
      <c r="O872" s="5">
        <v>61200</v>
      </c>
      <c r="P872" s="5"/>
      <c r="Q872" s="5"/>
      <c r="R872" s="5">
        <v>3</v>
      </c>
      <c r="S872" s="5">
        <v>910</v>
      </c>
      <c r="T872" s="5" t="s">
        <v>48</v>
      </c>
      <c r="U872" s="5">
        <v>885</v>
      </c>
      <c r="V872" s="5">
        <v>4.3499999999999996</v>
      </c>
      <c r="W872" s="5" t="s">
        <v>84</v>
      </c>
      <c r="X872" s="5">
        <v>61</v>
      </c>
      <c r="Y872" s="5">
        <v>296.5</v>
      </c>
      <c r="Z872" s="5">
        <v>51.4</v>
      </c>
      <c r="AA872" s="5" t="s">
        <v>68</v>
      </c>
      <c r="AB872" s="5"/>
      <c r="AC872" s="5"/>
      <c r="AD872" s="5"/>
      <c r="AE872" s="5"/>
      <c r="AF872" s="5" t="s">
        <v>68</v>
      </c>
      <c r="AG872" s="5"/>
      <c r="AH872" s="5"/>
      <c r="AI872" s="5"/>
      <c r="AJ872" s="5"/>
      <c r="AK872" s="5"/>
      <c r="AL872" s="5"/>
      <c r="AM872" s="5"/>
      <c r="AN872" s="5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</row>
    <row r="873" spans="1:240" ht="30" customHeight="1">
      <c r="A873" s="5">
        <v>871</v>
      </c>
      <c r="B873" s="5" t="s">
        <v>68</v>
      </c>
      <c r="C873" s="5"/>
      <c r="D873" s="5"/>
      <c r="E873" s="5">
        <v>4493</v>
      </c>
      <c r="F873" s="5">
        <v>1374</v>
      </c>
      <c r="G873" s="5">
        <v>1180</v>
      </c>
      <c r="H873" s="5">
        <v>457</v>
      </c>
      <c r="I873" s="5" t="s">
        <v>17</v>
      </c>
      <c r="J873" s="5">
        <v>32.5</v>
      </c>
      <c r="K873" s="30">
        <v>5</v>
      </c>
      <c r="L873" s="5">
        <v>168</v>
      </c>
      <c r="M873" s="31">
        <v>10</v>
      </c>
      <c r="N873" s="5">
        <v>31</v>
      </c>
      <c r="O873" s="5">
        <v>58050</v>
      </c>
      <c r="P873" s="5"/>
      <c r="Q873" s="5"/>
      <c r="R873" s="5">
        <v>3</v>
      </c>
      <c r="S873" s="5">
        <v>910</v>
      </c>
      <c r="T873" s="5" t="s">
        <v>48</v>
      </c>
      <c r="U873" s="5">
        <v>885</v>
      </c>
      <c r="V873" s="5">
        <v>4.3499999999999996</v>
      </c>
      <c r="W873" s="5" t="s">
        <v>84</v>
      </c>
      <c r="X873" s="5">
        <v>61</v>
      </c>
      <c r="Y873" s="5">
        <v>395.3</v>
      </c>
      <c r="Z873" s="5">
        <v>67.400000000000006</v>
      </c>
      <c r="AA873" s="5" t="s">
        <v>68</v>
      </c>
      <c r="AB873" s="5"/>
      <c r="AC873" s="5"/>
      <c r="AD873" s="5"/>
      <c r="AE873" s="5"/>
      <c r="AF873" s="5" t="s">
        <v>68</v>
      </c>
      <c r="AG873" s="5"/>
      <c r="AH873" s="5"/>
      <c r="AI873" s="5"/>
      <c r="AJ873" s="5"/>
      <c r="AK873" s="5"/>
      <c r="AL873" s="5"/>
      <c r="AM873" s="5"/>
      <c r="AN873" s="5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</row>
    <row r="874" spans="1:240" ht="30" customHeight="1">
      <c r="A874" s="5">
        <v>872</v>
      </c>
      <c r="B874" s="5" t="s">
        <v>68</v>
      </c>
      <c r="C874" s="5"/>
      <c r="D874" s="5"/>
      <c r="E874" s="5">
        <v>4493</v>
      </c>
      <c r="F874" s="5">
        <v>1374</v>
      </c>
      <c r="G874" s="5">
        <v>1180</v>
      </c>
      <c r="H874" s="5">
        <v>535</v>
      </c>
      <c r="I874" s="5" t="s">
        <v>17</v>
      </c>
      <c r="J874" s="5">
        <v>37.799999999999997</v>
      </c>
      <c r="K874" s="30">
        <v>5</v>
      </c>
      <c r="L874" s="5">
        <v>195</v>
      </c>
      <c r="M874" s="31">
        <v>10</v>
      </c>
      <c r="N874" s="5">
        <v>20</v>
      </c>
      <c r="O874" s="5">
        <v>53100</v>
      </c>
      <c r="P874" s="5"/>
      <c r="Q874" s="5"/>
      <c r="R874" s="5">
        <v>3</v>
      </c>
      <c r="S874" s="5">
        <v>910</v>
      </c>
      <c r="T874" s="5" t="s">
        <v>48</v>
      </c>
      <c r="U874" s="5">
        <v>885</v>
      </c>
      <c r="V874" s="5">
        <v>4.3499999999999996</v>
      </c>
      <c r="W874" s="5" t="s">
        <v>84</v>
      </c>
      <c r="X874" s="5">
        <v>61</v>
      </c>
      <c r="Y874" s="5">
        <v>593</v>
      </c>
      <c r="Z874" s="5">
        <v>101.8</v>
      </c>
      <c r="AA874" s="5" t="s">
        <v>68</v>
      </c>
      <c r="AB874" s="5"/>
      <c r="AC874" s="5"/>
      <c r="AD874" s="5"/>
      <c r="AE874" s="5"/>
      <c r="AF874" s="5" t="s">
        <v>68</v>
      </c>
      <c r="AG874" s="5"/>
      <c r="AH874" s="5"/>
      <c r="AI874" s="5"/>
      <c r="AJ874" s="5"/>
      <c r="AK874" s="5"/>
      <c r="AL874" s="5"/>
      <c r="AM874" s="5"/>
      <c r="AN874" s="5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</row>
    <row r="875" spans="1:240" ht="30" customHeight="1">
      <c r="A875" s="5">
        <v>873</v>
      </c>
      <c r="B875" s="5" t="s">
        <v>68</v>
      </c>
      <c r="C875" s="5"/>
      <c r="D875" s="5"/>
      <c r="E875" s="5">
        <v>3063</v>
      </c>
      <c r="F875" s="5">
        <v>1374</v>
      </c>
      <c r="G875" s="5">
        <v>1180</v>
      </c>
      <c r="H875" s="5">
        <v>590</v>
      </c>
      <c r="I875" s="5" t="s">
        <v>17</v>
      </c>
      <c r="J875" s="5">
        <v>37</v>
      </c>
      <c r="K875" s="30">
        <v>5</v>
      </c>
      <c r="L875" s="5">
        <v>191</v>
      </c>
      <c r="M875" s="31">
        <v>10</v>
      </c>
      <c r="N875" s="5">
        <v>40</v>
      </c>
      <c r="O875" s="5">
        <v>81600</v>
      </c>
      <c r="P875" s="5"/>
      <c r="Q875" s="5"/>
      <c r="R875" s="5">
        <v>4</v>
      </c>
      <c r="S875" s="5">
        <v>910</v>
      </c>
      <c r="T875" s="5" t="s">
        <v>48</v>
      </c>
      <c r="U875" s="5">
        <v>885</v>
      </c>
      <c r="V875" s="5">
        <v>5.8</v>
      </c>
      <c r="W875" s="5" t="s">
        <v>84</v>
      </c>
      <c r="X875" s="5">
        <v>62</v>
      </c>
      <c r="Y875" s="5">
        <v>395.4</v>
      </c>
      <c r="Z875" s="5">
        <v>76.900000000000006</v>
      </c>
      <c r="AA875" s="5" t="s">
        <v>68</v>
      </c>
      <c r="AB875" s="5"/>
      <c r="AC875" s="5"/>
      <c r="AD875" s="5"/>
      <c r="AE875" s="5"/>
      <c r="AF875" s="5" t="s">
        <v>68</v>
      </c>
      <c r="AG875" s="5"/>
      <c r="AH875" s="5"/>
      <c r="AI875" s="5"/>
      <c r="AJ875" s="5"/>
      <c r="AK875" s="5"/>
      <c r="AL875" s="5"/>
      <c r="AM875" s="5"/>
      <c r="AN875" s="5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</row>
    <row r="876" spans="1:240" ht="30" customHeight="1">
      <c r="A876" s="5">
        <v>874</v>
      </c>
      <c r="B876" s="5" t="s">
        <v>68</v>
      </c>
      <c r="C876" s="5"/>
      <c r="D876" s="5"/>
      <c r="E876" s="5">
        <v>3063</v>
      </c>
      <c r="F876" s="5">
        <v>1374</v>
      </c>
      <c r="G876" s="5">
        <v>1180</v>
      </c>
      <c r="H876" s="5">
        <v>640</v>
      </c>
      <c r="I876" s="5" t="s">
        <v>17</v>
      </c>
      <c r="J876" s="5">
        <v>43.2</v>
      </c>
      <c r="K876" s="30">
        <v>5</v>
      </c>
      <c r="L876" s="5">
        <v>223</v>
      </c>
      <c r="M876" s="31">
        <v>10</v>
      </c>
      <c r="N876" s="5">
        <v>33</v>
      </c>
      <c r="O876" s="5">
        <v>77400</v>
      </c>
      <c r="P876" s="5"/>
      <c r="Q876" s="5"/>
      <c r="R876" s="5">
        <v>4</v>
      </c>
      <c r="S876" s="5">
        <v>910</v>
      </c>
      <c r="T876" s="5" t="s">
        <v>48</v>
      </c>
      <c r="U876" s="5">
        <v>885</v>
      </c>
      <c r="V876" s="5">
        <v>5.8</v>
      </c>
      <c r="W876" s="5" t="s">
        <v>84</v>
      </c>
      <c r="X876" s="5">
        <v>62</v>
      </c>
      <c r="Y876" s="5">
        <v>527</v>
      </c>
      <c r="Z876" s="5">
        <v>98.4</v>
      </c>
      <c r="AA876" s="5" t="s">
        <v>68</v>
      </c>
      <c r="AB876" s="5"/>
      <c r="AC876" s="5"/>
      <c r="AD876" s="5"/>
      <c r="AE876" s="5"/>
      <c r="AF876" s="5" t="s">
        <v>68</v>
      </c>
      <c r="AG876" s="5"/>
      <c r="AH876" s="5"/>
      <c r="AI876" s="5"/>
      <c r="AJ876" s="5"/>
      <c r="AK876" s="5"/>
      <c r="AL876" s="5"/>
      <c r="AM876" s="5"/>
      <c r="AN876" s="5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</row>
    <row r="877" spans="1:240" ht="30" customHeight="1">
      <c r="A877" s="5">
        <v>875</v>
      </c>
      <c r="B877" s="5" t="s">
        <v>68</v>
      </c>
      <c r="C877" s="5"/>
      <c r="D877" s="5"/>
      <c r="E877" s="5">
        <v>3063</v>
      </c>
      <c r="F877" s="5">
        <v>1374</v>
      </c>
      <c r="G877" s="5">
        <v>1180</v>
      </c>
      <c r="H877" s="5">
        <v>740</v>
      </c>
      <c r="I877" s="5" t="s">
        <v>17</v>
      </c>
      <c r="J877" s="5">
        <v>51.7</v>
      </c>
      <c r="K877" s="30">
        <v>5</v>
      </c>
      <c r="L877" s="5">
        <v>267</v>
      </c>
      <c r="M877" s="31">
        <v>10</v>
      </c>
      <c r="N877" s="5">
        <v>47</v>
      </c>
      <c r="O877" s="5">
        <v>70800</v>
      </c>
      <c r="P877" s="5"/>
      <c r="Q877" s="5"/>
      <c r="R877" s="5">
        <v>4</v>
      </c>
      <c r="S877" s="5">
        <v>910</v>
      </c>
      <c r="T877" s="5" t="s">
        <v>48</v>
      </c>
      <c r="U877" s="5">
        <v>885</v>
      </c>
      <c r="V877" s="5">
        <v>5.8</v>
      </c>
      <c r="W877" s="5" t="s">
        <v>84</v>
      </c>
      <c r="X877" s="5">
        <v>62</v>
      </c>
      <c r="Y877" s="5">
        <v>790.6</v>
      </c>
      <c r="Z877" s="5">
        <v>140.19999999999999</v>
      </c>
      <c r="AA877" s="5" t="s">
        <v>68</v>
      </c>
      <c r="AB877" s="5"/>
      <c r="AC877" s="5"/>
      <c r="AD877" s="5"/>
      <c r="AE877" s="5"/>
      <c r="AF877" s="5" t="s">
        <v>68</v>
      </c>
      <c r="AG877" s="5"/>
      <c r="AH877" s="5"/>
      <c r="AI877" s="5"/>
      <c r="AJ877" s="5"/>
      <c r="AK877" s="5"/>
      <c r="AL877" s="5"/>
      <c r="AM877" s="5"/>
      <c r="AN877" s="5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</row>
    <row r="878" spans="1:240" ht="30" customHeight="1">
      <c r="A878" s="5">
        <v>876</v>
      </c>
      <c r="B878" s="5" t="s">
        <v>68</v>
      </c>
      <c r="C878" s="5"/>
      <c r="D878" s="5"/>
      <c r="E878" s="5">
        <v>4493</v>
      </c>
      <c r="F878" s="5">
        <v>1374</v>
      </c>
      <c r="G878" s="5">
        <v>1180</v>
      </c>
      <c r="H878" s="5">
        <v>836</v>
      </c>
      <c r="I878" s="5" t="s">
        <v>17</v>
      </c>
      <c r="J878" s="5">
        <v>56</v>
      </c>
      <c r="K878" s="30">
        <v>5</v>
      </c>
      <c r="L878" s="5">
        <v>289</v>
      </c>
      <c r="M878" s="31">
        <v>10</v>
      </c>
      <c r="N878" s="5">
        <v>41</v>
      </c>
      <c r="O878" s="5">
        <v>122400</v>
      </c>
      <c r="P878" s="5"/>
      <c r="Q878" s="5"/>
      <c r="R878" s="5">
        <v>6</v>
      </c>
      <c r="S878" s="5">
        <v>910</v>
      </c>
      <c r="T878" s="5" t="s">
        <v>48</v>
      </c>
      <c r="U878" s="5">
        <v>885</v>
      </c>
      <c r="V878" s="5">
        <v>8.6999999999999993</v>
      </c>
      <c r="W878" s="5" t="s">
        <v>84</v>
      </c>
      <c r="X878" s="5">
        <v>64</v>
      </c>
      <c r="Y878" s="5">
        <v>593</v>
      </c>
      <c r="Z878" s="5">
        <v>112.6</v>
      </c>
      <c r="AA878" s="5" t="s">
        <v>68</v>
      </c>
      <c r="AB878" s="5"/>
      <c r="AC878" s="5"/>
      <c r="AD878" s="5"/>
      <c r="AE878" s="5"/>
      <c r="AF878" s="5" t="s">
        <v>68</v>
      </c>
      <c r="AG878" s="5"/>
      <c r="AH878" s="5"/>
      <c r="AI878" s="5"/>
      <c r="AJ878" s="5"/>
      <c r="AK878" s="5"/>
      <c r="AL878" s="5"/>
      <c r="AM878" s="5"/>
      <c r="AN878" s="5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</row>
    <row r="879" spans="1:240" ht="30" customHeight="1">
      <c r="A879" s="5">
        <v>877</v>
      </c>
      <c r="B879" s="5" t="s">
        <v>68</v>
      </c>
      <c r="C879" s="5"/>
      <c r="D879" s="5"/>
      <c r="E879" s="5">
        <v>4493</v>
      </c>
      <c r="F879" s="5">
        <v>1374</v>
      </c>
      <c r="G879" s="5">
        <v>1180</v>
      </c>
      <c r="H879" s="5">
        <v>914</v>
      </c>
      <c r="I879" s="5" t="s">
        <v>17</v>
      </c>
      <c r="J879" s="5">
        <v>65</v>
      </c>
      <c r="K879" s="30">
        <v>5</v>
      </c>
      <c r="L879" s="5">
        <v>335</v>
      </c>
      <c r="M879" s="31">
        <v>10</v>
      </c>
      <c r="N879" s="5">
        <v>31</v>
      </c>
      <c r="O879" s="5">
        <v>116100</v>
      </c>
      <c r="P879" s="5"/>
      <c r="Q879" s="5"/>
      <c r="R879" s="5">
        <v>6</v>
      </c>
      <c r="S879" s="5">
        <v>910</v>
      </c>
      <c r="T879" s="5" t="s">
        <v>48</v>
      </c>
      <c r="U879" s="5">
        <v>885</v>
      </c>
      <c r="V879" s="5">
        <v>8.6999999999999993</v>
      </c>
      <c r="W879" s="5" t="s">
        <v>84</v>
      </c>
      <c r="X879" s="5">
        <v>64</v>
      </c>
      <c r="Y879" s="5">
        <v>790.6</v>
      </c>
      <c r="Z879" s="5">
        <v>144.69999999999999</v>
      </c>
      <c r="AA879" s="5" t="s">
        <v>68</v>
      </c>
      <c r="AB879" s="5"/>
      <c r="AC879" s="5"/>
      <c r="AD879" s="5"/>
      <c r="AE879" s="5"/>
      <c r="AF879" s="5" t="s">
        <v>68</v>
      </c>
      <c r="AG879" s="5"/>
      <c r="AH879" s="5"/>
      <c r="AI879" s="5"/>
      <c r="AJ879" s="5"/>
      <c r="AK879" s="5"/>
      <c r="AL879" s="5"/>
      <c r="AM879" s="5"/>
      <c r="AN879" s="5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</row>
    <row r="880" spans="1:240" ht="30" customHeight="1">
      <c r="A880" s="5">
        <v>878</v>
      </c>
      <c r="B880" s="5" t="s">
        <v>68</v>
      </c>
      <c r="C880" s="5"/>
      <c r="D880" s="5"/>
      <c r="E880" s="5">
        <v>4493</v>
      </c>
      <c r="F880" s="5">
        <v>1374</v>
      </c>
      <c r="G880" s="5">
        <v>1180</v>
      </c>
      <c r="H880" s="5">
        <v>1070</v>
      </c>
      <c r="I880" s="5" t="s">
        <v>17</v>
      </c>
      <c r="J880" s="5">
        <v>75.7</v>
      </c>
      <c r="K880" s="30">
        <v>5</v>
      </c>
      <c r="L880" s="5">
        <v>390</v>
      </c>
      <c r="M880" s="31">
        <v>10</v>
      </c>
      <c r="N880" s="5">
        <v>20</v>
      </c>
      <c r="O880" s="5">
        <v>106200</v>
      </c>
      <c r="P880" s="5"/>
      <c r="Q880" s="5"/>
      <c r="R880" s="5">
        <v>6</v>
      </c>
      <c r="S880" s="5">
        <v>910</v>
      </c>
      <c r="T880" s="5" t="s">
        <v>48</v>
      </c>
      <c r="U880" s="5">
        <v>885</v>
      </c>
      <c r="V880" s="5">
        <v>8.6999999999999993</v>
      </c>
      <c r="W880" s="5" t="s">
        <v>84</v>
      </c>
      <c r="X880" s="5">
        <v>64</v>
      </c>
      <c r="Y880" s="5">
        <v>1186</v>
      </c>
      <c r="Z880" s="5">
        <v>207.7</v>
      </c>
      <c r="AA880" s="5" t="s">
        <v>68</v>
      </c>
      <c r="AB880" s="5"/>
      <c r="AC880" s="5"/>
      <c r="AD880" s="5"/>
      <c r="AE880" s="5"/>
      <c r="AF880" s="5" t="s">
        <v>68</v>
      </c>
      <c r="AG880" s="5"/>
      <c r="AH880" s="5"/>
      <c r="AI880" s="5"/>
      <c r="AJ880" s="5"/>
      <c r="AK880" s="5"/>
      <c r="AL880" s="5"/>
      <c r="AM880" s="5"/>
      <c r="AN880" s="5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</row>
    <row r="881" spans="1:240" ht="30" customHeight="1">
      <c r="A881" s="5">
        <v>879</v>
      </c>
      <c r="B881" s="5" t="s">
        <v>68</v>
      </c>
      <c r="C881" s="5"/>
      <c r="D881" s="5"/>
      <c r="E881" s="5">
        <v>1878</v>
      </c>
      <c r="F881" s="5">
        <v>1252</v>
      </c>
      <c r="G881" s="5">
        <f>710 + 630</f>
        <v>1340</v>
      </c>
      <c r="H881" s="5">
        <v>170</v>
      </c>
      <c r="I881" s="5" t="s">
        <v>17</v>
      </c>
      <c r="J881" s="24">
        <v>10.14259565946768</v>
      </c>
      <c r="K881" s="30">
        <v>5</v>
      </c>
      <c r="L881" s="5">
        <v>54</v>
      </c>
      <c r="M881" s="31">
        <v>10</v>
      </c>
      <c r="N881" s="5">
        <v>33</v>
      </c>
      <c r="O881" s="5">
        <v>18750</v>
      </c>
      <c r="P881" s="5"/>
      <c r="Q881" s="5"/>
      <c r="R881" s="5">
        <v>1</v>
      </c>
      <c r="S881" s="5">
        <v>800</v>
      </c>
      <c r="T881" s="5" t="s">
        <v>48</v>
      </c>
      <c r="U881" s="5">
        <v>895</v>
      </c>
      <c r="V881" s="5">
        <v>1.8</v>
      </c>
      <c r="W881" s="5" t="s">
        <v>84</v>
      </c>
      <c r="X881" s="5">
        <v>52</v>
      </c>
      <c r="Y881" s="5" t="s">
        <v>48</v>
      </c>
      <c r="Z881" s="5" t="s">
        <v>48</v>
      </c>
      <c r="AA881" s="5" t="s">
        <v>68</v>
      </c>
      <c r="AB881" s="5"/>
      <c r="AC881" s="5"/>
      <c r="AD881" s="5"/>
      <c r="AE881" s="5"/>
      <c r="AF881" s="5" t="s">
        <v>68</v>
      </c>
      <c r="AG881" s="5"/>
      <c r="AH881" s="5"/>
      <c r="AI881" s="5"/>
      <c r="AJ881" s="5"/>
      <c r="AK881" s="5"/>
      <c r="AL881" s="5"/>
      <c r="AM881" s="5"/>
      <c r="AN881" s="5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</row>
    <row r="882" spans="1:240" ht="30" customHeight="1">
      <c r="A882" s="5">
        <v>880</v>
      </c>
      <c r="B882" s="5" t="s">
        <v>68</v>
      </c>
      <c r="C882" s="5"/>
      <c r="D882" s="5"/>
      <c r="E882" s="5">
        <v>1878</v>
      </c>
      <c r="F882" s="5">
        <v>1252</v>
      </c>
      <c r="G882" s="5">
        <f t="shared" ref="G882:G890" si="26">710 + 630</f>
        <v>1340</v>
      </c>
      <c r="H882" s="5">
        <v>185</v>
      </c>
      <c r="I882" s="5" t="s">
        <v>17</v>
      </c>
      <c r="J882" s="24">
        <v>12.02085411492466</v>
      </c>
      <c r="K882" s="30">
        <v>5</v>
      </c>
      <c r="L882" s="5">
        <v>64</v>
      </c>
      <c r="M882" s="31">
        <v>10</v>
      </c>
      <c r="N882" s="5">
        <v>48</v>
      </c>
      <c r="O882" s="5">
        <v>17950</v>
      </c>
      <c r="P882" s="5"/>
      <c r="Q882" s="5"/>
      <c r="R882" s="5">
        <v>1</v>
      </c>
      <c r="S882" s="5">
        <v>800</v>
      </c>
      <c r="T882" s="5" t="s">
        <v>48</v>
      </c>
      <c r="U882" s="5">
        <v>895</v>
      </c>
      <c r="V882" s="5">
        <v>1.8</v>
      </c>
      <c r="W882" s="5" t="s">
        <v>84</v>
      </c>
      <c r="X882" s="5">
        <v>52</v>
      </c>
      <c r="Y882" s="5" t="s">
        <v>48</v>
      </c>
      <c r="Z882" s="5" t="s">
        <v>48</v>
      </c>
      <c r="AA882" s="5" t="s">
        <v>68</v>
      </c>
      <c r="AB882" s="5"/>
      <c r="AC882" s="5"/>
      <c r="AD882" s="5"/>
      <c r="AE882" s="5"/>
      <c r="AF882" s="5" t="s">
        <v>68</v>
      </c>
      <c r="AG882" s="5"/>
      <c r="AH882" s="5"/>
      <c r="AI882" s="5"/>
      <c r="AJ882" s="5"/>
      <c r="AK882" s="5"/>
      <c r="AL882" s="5"/>
      <c r="AM882" s="5"/>
      <c r="AN882" s="5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</row>
    <row r="883" spans="1:240" ht="30" customHeight="1">
      <c r="A883" s="5">
        <v>881</v>
      </c>
      <c r="B883" s="5" t="s">
        <v>68</v>
      </c>
      <c r="C883" s="5"/>
      <c r="D883" s="5"/>
      <c r="E883" s="5">
        <v>3543</v>
      </c>
      <c r="F883" s="5">
        <v>1252</v>
      </c>
      <c r="G883" s="5">
        <f t="shared" si="26"/>
        <v>1340</v>
      </c>
      <c r="H883" s="5">
        <v>300</v>
      </c>
      <c r="I883" s="5" t="s">
        <v>17</v>
      </c>
      <c r="J883" s="24">
        <v>20.47301716448106</v>
      </c>
      <c r="K883" s="30">
        <v>5</v>
      </c>
      <c r="L883" s="5">
        <v>109</v>
      </c>
      <c r="M883" s="31">
        <v>10</v>
      </c>
      <c r="N883" s="5">
        <v>34</v>
      </c>
      <c r="O883" s="5">
        <v>36200</v>
      </c>
      <c r="P883" s="5"/>
      <c r="Q883" s="5"/>
      <c r="R883" s="5">
        <v>2</v>
      </c>
      <c r="S883" s="5">
        <v>800</v>
      </c>
      <c r="T883" s="5" t="s">
        <v>48</v>
      </c>
      <c r="U883" s="5">
        <v>895</v>
      </c>
      <c r="V883" s="5">
        <v>3.6</v>
      </c>
      <c r="W883" s="5" t="s">
        <v>84</v>
      </c>
      <c r="X883" s="5">
        <v>55</v>
      </c>
      <c r="Y883" s="5" t="s">
        <v>48</v>
      </c>
      <c r="Z883" s="5" t="s">
        <v>48</v>
      </c>
      <c r="AA883" s="5" t="s">
        <v>68</v>
      </c>
      <c r="AB883" s="5"/>
      <c r="AC883" s="5"/>
      <c r="AD883" s="5"/>
      <c r="AE883" s="5"/>
      <c r="AF883" s="5" t="s">
        <v>68</v>
      </c>
      <c r="AG883" s="5"/>
      <c r="AH883" s="5"/>
      <c r="AI883" s="5"/>
      <c r="AJ883" s="5"/>
      <c r="AK883" s="5"/>
      <c r="AL883" s="5"/>
      <c r="AM883" s="5"/>
      <c r="AN883" s="5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</row>
    <row r="884" spans="1:240" ht="30" customHeight="1">
      <c r="A884" s="5">
        <v>882</v>
      </c>
      <c r="B884" s="5" t="s">
        <v>68</v>
      </c>
      <c r="C884" s="5"/>
      <c r="D884" s="5"/>
      <c r="E884" s="5">
        <v>3543</v>
      </c>
      <c r="F884" s="5">
        <v>1252</v>
      </c>
      <c r="G884" s="5">
        <f t="shared" si="26"/>
        <v>1340</v>
      </c>
      <c r="H884" s="5">
        <v>335</v>
      </c>
      <c r="I884" s="5" t="s">
        <v>17</v>
      </c>
      <c r="J884" s="24">
        <v>22.914753156575131</v>
      </c>
      <c r="K884" s="30">
        <v>5</v>
      </c>
      <c r="L884" s="5">
        <v>122</v>
      </c>
      <c r="M884" s="31">
        <v>10</v>
      </c>
      <c r="N884" s="5">
        <v>25</v>
      </c>
      <c r="O884" s="5">
        <v>33600</v>
      </c>
      <c r="P884" s="5"/>
      <c r="Q884" s="5"/>
      <c r="R884" s="5">
        <v>2</v>
      </c>
      <c r="S884" s="5">
        <v>800</v>
      </c>
      <c r="T884" s="5" t="s">
        <v>48</v>
      </c>
      <c r="U884" s="5">
        <v>895</v>
      </c>
      <c r="V884" s="5">
        <v>3.6</v>
      </c>
      <c r="W884" s="5" t="s">
        <v>84</v>
      </c>
      <c r="X884" s="5">
        <v>55</v>
      </c>
      <c r="Y884" s="5" t="s">
        <v>48</v>
      </c>
      <c r="Z884" s="5" t="s">
        <v>48</v>
      </c>
      <c r="AA884" s="5" t="s">
        <v>68</v>
      </c>
      <c r="AB884" s="5"/>
      <c r="AC884" s="5"/>
      <c r="AD884" s="5"/>
      <c r="AE884" s="5"/>
      <c r="AF884" s="5" t="s">
        <v>68</v>
      </c>
      <c r="AG884" s="5"/>
      <c r="AH884" s="5"/>
      <c r="AI884" s="5"/>
      <c r="AJ884" s="5"/>
      <c r="AK884" s="5"/>
      <c r="AL884" s="5"/>
      <c r="AM884" s="5"/>
      <c r="AN884" s="5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</row>
    <row r="885" spans="1:240" ht="30" customHeight="1">
      <c r="A885" s="5">
        <v>883</v>
      </c>
      <c r="B885" s="5" t="s">
        <v>68</v>
      </c>
      <c r="C885" s="5"/>
      <c r="D885" s="5"/>
      <c r="E885" s="5">
        <v>5208</v>
      </c>
      <c r="F885" s="5">
        <v>1252</v>
      </c>
      <c r="G885" s="5">
        <f t="shared" si="26"/>
        <v>1340</v>
      </c>
      <c r="H885" s="5">
        <v>425</v>
      </c>
      <c r="I885" s="5" t="s">
        <v>17</v>
      </c>
      <c r="J885" s="24">
        <v>30.99126451504014</v>
      </c>
      <c r="K885" s="30">
        <v>5</v>
      </c>
      <c r="L885" s="5">
        <v>165</v>
      </c>
      <c r="M885" s="31">
        <v>10</v>
      </c>
      <c r="N885" s="5">
        <v>32</v>
      </c>
      <c r="O885" s="5">
        <v>54300</v>
      </c>
      <c r="P885" s="5"/>
      <c r="Q885" s="5"/>
      <c r="R885" s="5">
        <v>3</v>
      </c>
      <c r="S885" s="5">
        <v>800</v>
      </c>
      <c r="T885" s="5" t="s">
        <v>48</v>
      </c>
      <c r="U885" s="5">
        <v>895</v>
      </c>
      <c r="V885" s="5">
        <v>5.4</v>
      </c>
      <c r="W885" s="5" t="s">
        <v>84</v>
      </c>
      <c r="X885" s="5">
        <v>57</v>
      </c>
      <c r="Y885" s="5" t="s">
        <v>48</v>
      </c>
      <c r="Z885" s="5" t="s">
        <v>48</v>
      </c>
      <c r="AA885" s="5" t="s">
        <v>68</v>
      </c>
      <c r="AB885" s="5"/>
      <c r="AC885" s="5"/>
      <c r="AD885" s="5"/>
      <c r="AE885" s="5"/>
      <c r="AF885" s="5" t="s">
        <v>68</v>
      </c>
      <c r="AG885" s="5"/>
      <c r="AH885" s="5"/>
      <c r="AI885" s="5"/>
      <c r="AJ885" s="5"/>
      <c r="AK885" s="5"/>
      <c r="AL885" s="5"/>
      <c r="AM885" s="5"/>
      <c r="AN885" s="5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</row>
    <row r="886" spans="1:240" ht="30" customHeight="1">
      <c r="A886" s="5">
        <v>884</v>
      </c>
      <c r="B886" s="5" t="s">
        <v>68</v>
      </c>
      <c r="C886" s="5"/>
      <c r="D886" s="5"/>
      <c r="E886" s="5">
        <v>5208</v>
      </c>
      <c r="F886" s="5">
        <v>1252</v>
      </c>
      <c r="G886" s="5">
        <f t="shared" si="26"/>
        <v>1340</v>
      </c>
      <c r="H886" s="5">
        <v>470</v>
      </c>
      <c r="I886" s="5" t="s">
        <v>17</v>
      </c>
      <c r="J886" s="24">
        <v>34.935607271499784</v>
      </c>
      <c r="K886" s="30">
        <v>5</v>
      </c>
      <c r="L886" s="5">
        <v>186</v>
      </c>
      <c r="M886" s="31">
        <v>10</v>
      </c>
      <c r="N886" s="5">
        <v>24</v>
      </c>
      <c r="O886" s="5">
        <v>50650</v>
      </c>
      <c r="P886" s="5"/>
      <c r="Q886" s="5"/>
      <c r="R886" s="5">
        <v>3</v>
      </c>
      <c r="S886" s="5">
        <v>800</v>
      </c>
      <c r="T886" s="5" t="s">
        <v>48</v>
      </c>
      <c r="U886" s="5">
        <v>895</v>
      </c>
      <c r="V886" s="5">
        <v>5.4</v>
      </c>
      <c r="W886" s="5" t="s">
        <v>84</v>
      </c>
      <c r="X886" s="5">
        <v>57</v>
      </c>
      <c r="Y886" s="5" t="s">
        <v>48</v>
      </c>
      <c r="Z886" s="5" t="s">
        <v>48</v>
      </c>
      <c r="AA886" s="5" t="s">
        <v>68</v>
      </c>
      <c r="AB886" s="5"/>
      <c r="AC886" s="5"/>
      <c r="AD886" s="5"/>
      <c r="AE886" s="5"/>
      <c r="AF886" s="5" t="s">
        <v>68</v>
      </c>
      <c r="AG886" s="5"/>
      <c r="AH886" s="5"/>
      <c r="AI886" s="5"/>
      <c r="AJ886" s="5"/>
      <c r="AK886" s="5"/>
      <c r="AL886" s="5"/>
      <c r="AM886" s="5"/>
      <c r="AN886" s="5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</row>
    <row r="887" spans="1:240" ht="30" customHeight="1">
      <c r="A887" s="5">
        <v>885</v>
      </c>
      <c r="B887" s="5" t="s">
        <v>68</v>
      </c>
      <c r="C887" s="5"/>
      <c r="D887" s="5"/>
      <c r="E887" s="5">
        <v>3543</v>
      </c>
      <c r="F887" s="5">
        <v>1252</v>
      </c>
      <c r="G887" s="5">
        <f t="shared" si="26"/>
        <v>1340</v>
      </c>
      <c r="H887" s="5">
        <v>600</v>
      </c>
      <c r="I887" s="5" t="s">
        <v>17</v>
      </c>
      <c r="J887" s="24">
        <v>41.133860174507809</v>
      </c>
      <c r="K887" s="30">
        <v>5</v>
      </c>
      <c r="L887" s="5">
        <v>219</v>
      </c>
      <c r="M887" s="31">
        <v>10</v>
      </c>
      <c r="N887" s="5">
        <v>34</v>
      </c>
      <c r="O887" s="5">
        <v>72400</v>
      </c>
      <c r="P887" s="5"/>
      <c r="Q887" s="5"/>
      <c r="R887" s="5">
        <v>4</v>
      </c>
      <c r="S887" s="5">
        <v>800</v>
      </c>
      <c r="T887" s="5" t="s">
        <v>48</v>
      </c>
      <c r="U887" s="5">
        <v>895</v>
      </c>
      <c r="V887" s="5">
        <v>7.2</v>
      </c>
      <c r="W887" s="5" t="s">
        <v>84</v>
      </c>
      <c r="X887" s="5">
        <v>58</v>
      </c>
      <c r="Y887" s="5" t="s">
        <v>48</v>
      </c>
      <c r="Z887" s="5" t="s">
        <v>48</v>
      </c>
      <c r="AA887" s="5" t="s">
        <v>68</v>
      </c>
      <c r="AB887" s="5"/>
      <c r="AC887" s="5"/>
      <c r="AD887" s="5"/>
      <c r="AE887" s="5"/>
      <c r="AF887" s="5" t="s">
        <v>68</v>
      </c>
      <c r="AG887" s="5"/>
      <c r="AH887" s="5"/>
      <c r="AI887" s="5"/>
      <c r="AJ887" s="5"/>
      <c r="AK887" s="5"/>
      <c r="AL887" s="5"/>
      <c r="AM887" s="5"/>
      <c r="AN887" s="5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</row>
    <row r="888" spans="1:240" ht="30" customHeight="1">
      <c r="A888" s="5">
        <v>886</v>
      </c>
      <c r="B888" s="5" t="s">
        <v>68</v>
      </c>
      <c r="C888" s="5"/>
      <c r="D888" s="5"/>
      <c r="E888" s="5">
        <v>3543</v>
      </c>
      <c r="F888" s="5">
        <v>1252</v>
      </c>
      <c r="G888" s="5">
        <f t="shared" si="26"/>
        <v>1340</v>
      </c>
      <c r="H888" s="5">
        <v>670</v>
      </c>
      <c r="I888" s="5" t="s">
        <v>17</v>
      </c>
      <c r="J888" s="24">
        <v>46.017332158695957</v>
      </c>
      <c r="K888" s="30">
        <v>5</v>
      </c>
      <c r="L888" s="5">
        <v>245</v>
      </c>
      <c r="M888" s="31">
        <v>10</v>
      </c>
      <c r="N888" s="5">
        <v>25</v>
      </c>
      <c r="O888" s="5">
        <v>67200</v>
      </c>
      <c r="P888" s="5"/>
      <c r="Q888" s="5"/>
      <c r="R888" s="5">
        <v>4</v>
      </c>
      <c r="S888" s="5">
        <v>800</v>
      </c>
      <c r="T888" s="5" t="s">
        <v>48</v>
      </c>
      <c r="U888" s="5">
        <v>895</v>
      </c>
      <c r="V888" s="5">
        <v>7.2</v>
      </c>
      <c r="W888" s="5" t="s">
        <v>84</v>
      </c>
      <c r="X888" s="5">
        <v>58</v>
      </c>
      <c r="Y888" s="5" t="s">
        <v>48</v>
      </c>
      <c r="Z888" s="5" t="s">
        <v>48</v>
      </c>
      <c r="AA888" s="5" t="s">
        <v>68</v>
      </c>
      <c r="AB888" s="5"/>
      <c r="AC888" s="5"/>
      <c r="AD888" s="5"/>
      <c r="AE888" s="5"/>
      <c r="AF888" s="5" t="s">
        <v>68</v>
      </c>
      <c r="AG888" s="5"/>
      <c r="AH888" s="5"/>
      <c r="AI888" s="5"/>
      <c r="AJ888" s="5"/>
      <c r="AK888" s="5"/>
      <c r="AL888" s="5"/>
      <c r="AM888" s="5"/>
      <c r="AN888" s="5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</row>
    <row r="889" spans="1:240" ht="30" customHeight="1">
      <c r="A889" s="5">
        <v>887</v>
      </c>
      <c r="B889" s="5" t="s">
        <v>68</v>
      </c>
      <c r="C889" s="5"/>
      <c r="D889" s="5"/>
      <c r="E889" s="5">
        <v>5208</v>
      </c>
      <c r="F889" s="5">
        <v>1252</v>
      </c>
      <c r="G889" s="5">
        <f t="shared" si="26"/>
        <v>1340</v>
      </c>
      <c r="H889" s="5">
        <v>850</v>
      </c>
      <c r="I889" s="5" t="s">
        <v>17</v>
      </c>
      <c r="J889" s="24">
        <v>62.170354875625968</v>
      </c>
      <c r="K889" s="30">
        <v>5</v>
      </c>
      <c r="L889" s="5">
        <v>331</v>
      </c>
      <c r="M889" s="31">
        <v>10</v>
      </c>
      <c r="N889" s="5">
        <v>32</v>
      </c>
      <c r="O889" s="5">
        <v>108600</v>
      </c>
      <c r="P889" s="5"/>
      <c r="Q889" s="5"/>
      <c r="R889" s="5">
        <v>6</v>
      </c>
      <c r="S889" s="5">
        <v>800</v>
      </c>
      <c r="T889" s="5" t="s">
        <v>48</v>
      </c>
      <c r="U889" s="5">
        <v>895</v>
      </c>
      <c r="V889" s="5">
        <v>10.8</v>
      </c>
      <c r="W889" s="5" t="s">
        <v>84</v>
      </c>
      <c r="X889" s="5">
        <v>59</v>
      </c>
      <c r="Y889" s="5" t="s">
        <v>48</v>
      </c>
      <c r="Z889" s="5" t="s">
        <v>48</v>
      </c>
      <c r="AA889" s="5" t="s">
        <v>68</v>
      </c>
      <c r="AB889" s="5"/>
      <c r="AC889" s="5"/>
      <c r="AD889" s="5"/>
      <c r="AE889" s="5"/>
      <c r="AF889" s="5" t="s">
        <v>68</v>
      </c>
      <c r="AG889" s="5"/>
      <c r="AH889" s="5"/>
      <c r="AI889" s="5"/>
      <c r="AJ889" s="5"/>
      <c r="AK889" s="5"/>
      <c r="AL889" s="5"/>
      <c r="AM889" s="5"/>
      <c r="AN889" s="5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</row>
    <row r="890" spans="1:240" ht="30" customHeight="1">
      <c r="A890" s="5">
        <v>888</v>
      </c>
      <c r="B890" s="5" t="s">
        <v>68</v>
      </c>
      <c r="C890" s="5"/>
      <c r="D890" s="5"/>
      <c r="E890" s="5">
        <v>5208</v>
      </c>
      <c r="F890" s="5">
        <v>1252</v>
      </c>
      <c r="G890" s="5">
        <f t="shared" si="26"/>
        <v>1340</v>
      </c>
      <c r="H890" s="5">
        <v>940</v>
      </c>
      <c r="I890" s="5" t="s">
        <v>17</v>
      </c>
      <c r="J890" s="24">
        <v>69.683388697453879</v>
      </c>
      <c r="K890" s="30">
        <v>5</v>
      </c>
      <c r="L890" s="5">
        <v>371</v>
      </c>
      <c r="M890" s="31">
        <v>10</v>
      </c>
      <c r="N890" s="5">
        <v>24</v>
      </c>
      <c r="O890" s="5">
        <v>101300</v>
      </c>
      <c r="P890" s="5"/>
      <c r="Q890" s="5"/>
      <c r="R890" s="5">
        <v>6</v>
      </c>
      <c r="S890" s="5">
        <v>800</v>
      </c>
      <c r="T890" s="5" t="s">
        <v>48</v>
      </c>
      <c r="U890" s="5">
        <v>895</v>
      </c>
      <c r="V890" s="5">
        <v>10.8</v>
      </c>
      <c r="W890" s="5" t="s">
        <v>84</v>
      </c>
      <c r="X890" s="5">
        <v>59</v>
      </c>
      <c r="Y890" s="5" t="s">
        <v>48</v>
      </c>
      <c r="Z890" s="5" t="s">
        <v>48</v>
      </c>
      <c r="AA890" s="5" t="s">
        <v>68</v>
      </c>
      <c r="AB890" s="5"/>
      <c r="AC890" s="5"/>
      <c r="AD890" s="5"/>
      <c r="AE890" s="5"/>
      <c r="AF890" s="5" t="s">
        <v>68</v>
      </c>
      <c r="AG890" s="5"/>
      <c r="AH890" s="5"/>
      <c r="AI890" s="5"/>
      <c r="AJ890" s="5"/>
      <c r="AK890" s="5"/>
      <c r="AL890" s="5"/>
      <c r="AM890" s="5"/>
      <c r="AN890" s="5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</row>
    <row r="891" spans="1:240" ht="30" customHeight="1">
      <c r="A891" s="5">
        <v>889</v>
      </c>
      <c r="B891" s="5" t="s">
        <v>68</v>
      </c>
      <c r="C891" s="5"/>
      <c r="D891" s="5"/>
      <c r="E891" s="5">
        <v>1878</v>
      </c>
      <c r="F891" s="5">
        <v>1252</v>
      </c>
      <c r="G891" s="5">
        <f>710 + 630</f>
        <v>1340</v>
      </c>
      <c r="H891" s="5">
        <v>185</v>
      </c>
      <c r="I891" s="5" t="s">
        <v>17</v>
      </c>
      <c r="J891" s="24">
        <v>10.706073196104773</v>
      </c>
      <c r="K891" s="30">
        <v>5</v>
      </c>
      <c r="L891" s="5">
        <v>57</v>
      </c>
      <c r="M891" s="31">
        <v>10</v>
      </c>
      <c r="N891" s="5">
        <v>36</v>
      </c>
      <c r="O891" s="5">
        <v>20000</v>
      </c>
      <c r="P891" s="5"/>
      <c r="Q891" s="5"/>
      <c r="R891" s="5">
        <v>1</v>
      </c>
      <c r="S891" s="5">
        <v>800</v>
      </c>
      <c r="T891" s="5" t="s">
        <v>48</v>
      </c>
      <c r="U891" s="5">
        <v>980</v>
      </c>
      <c r="V891" s="5">
        <v>1.75</v>
      </c>
      <c r="W891" s="5" t="s">
        <v>10</v>
      </c>
      <c r="X891" s="5">
        <v>52</v>
      </c>
      <c r="Y891" s="5" t="s">
        <v>48</v>
      </c>
      <c r="Z891" s="5" t="s">
        <v>48</v>
      </c>
      <c r="AA891" s="5" t="s">
        <v>68</v>
      </c>
      <c r="AB891" s="5"/>
      <c r="AC891" s="5"/>
      <c r="AD891" s="5"/>
      <c r="AE891" s="5"/>
      <c r="AF891" s="5" t="s">
        <v>68</v>
      </c>
      <c r="AG891" s="5"/>
      <c r="AH891" s="5"/>
      <c r="AI891" s="5"/>
      <c r="AJ891" s="5" t="s">
        <v>68</v>
      </c>
      <c r="AK891" s="5"/>
      <c r="AL891" s="5"/>
      <c r="AM891" s="5"/>
      <c r="AN891" s="5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</row>
    <row r="892" spans="1:240" ht="30" customHeight="1">
      <c r="A892" s="5">
        <v>890</v>
      </c>
      <c r="B892" s="5" t="s">
        <v>68</v>
      </c>
      <c r="C892" s="5"/>
      <c r="D892" s="5"/>
      <c r="E892" s="5">
        <v>1878</v>
      </c>
      <c r="F892" s="5">
        <v>1252</v>
      </c>
      <c r="G892" s="5">
        <f t="shared" ref="G892:G906" si="27">710 + 630</f>
        <v>1340</v>
      </c>
      <c r="H892" s="5">
        <v>185</v>
      </c>
      <c r="I892" s="5" t="s">
        <v>17</v>
      </c>
      <c r="J892" s="24">
        <v>9.9547698139219829</v>
      </c>
      <c r="K892" s="30">
        <v>5</v>
      </c>
      <c r="L892" s="5">
        <v>53</v>
      </c>
      <c r="M892" s="31">
        <v>10</v>
      </c>
      <c r="N892" s="5">
        <v>31</v>
      </c>
      <c r="O892" s="5">
        <v>17850</v>
      </c>
      <c r="P892" s="5"/>
      <c r="Q892" s="5"/>
      <c r="R892" s="5">
        <v>1</v>
      </c>
      <c r="S892" s="5">
        <v>800</v>
      </c>
      <c r="T892" s="5" t="s">
        <v>48</v>
      </c>
      <c r="U892" s="5">
        <v>882</v>
      </c>
      <c r="V892" s="5">
        <v>1.3</v>
      </c>
      <c r="W892" s="5" t="s">
        <v>10</v>
      </c>
      <c r="X892" s="5">
        <v>50</v>
      </c>
      <c r="Y892" s="5" t="s">
        <v>48</v>
      </c>
      <c r="Z892" s="5" t="s">
        <v>48</v>
      </c>
      <c r="AA892" s="5" t="s">
        <v>68</v>
      </c>
      <c r="AB892" s="5"/>
      <c r="AC892" s="5"/>
      <c r="AD892" s="5"/>
      <c r="AE892" s="5"/>
      <c r="AF892" s="5" t="s">
        <v>68</v>
      </c>
      <c r="AG892" s="5"/>
      <c r="AH892" s="5"/>
      <c r="AI892" s="5"/>
      <c r="AJ892" s="5" t="s">
        <v>68</v>
      </c>
      <c r="AK892" s="5"/>
      <c r="AL892" s="5"/>
      <c r="AM892" s="5"/>
      <c r="AN892" s="5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</row>
    <row r="893" spans="1:240" ht="30" customHeight="1">
      <c r="A893" s="5">
        <v>891</v>
      </c>
      <c r="B893" s="5" t="s">
        <v>68</v>
      </c>
      <c r="C893" s="5"/>
      <c r="D893" s="5"/>
      <c r="E893" s="5">
        <v>1878</v>
      </c>
      <c r="F893" s="5">
        <v>1252</v>
      </c>
      <c r="G893" s="5">
        <f t="shared" si="27"/>
        <v>1340</v>
      </c>
      <c r="H893" s="5">
        <v>185</v>
      </c>
      <c r="I893" s="5" t="s">
        <v>17</v>
      </c>
      <c r="J893" s="24">
        <v>9.2034664317391925</v>
      </c>
      <c r="K893" s="30">
        <v>5</v>
      </c>
      <c r="L893" s="5">
        <v>49</v>
      </c>
      <c r="M893" s="31">
        <v>10</v>
      </c>
      <c r="N893" s="5">
        <v>27</v>
      </c>
      <c r="O893" s="5">
        <v>15750</v>
      </c>
      <c r="P893" s="5"/>
      <c r="Q893" s="5"/>
      <c r="R893" s="5">
        <v>1</v>
      </c>
      <c r="S893" s="5">
        <v>800</v>
      </c>
      <c r="T893" s="5" t="s">
        <v>48</v>
      </c>
      <c r="U893" s="5">
        <v>784</v>
      </c>
      <c r="V893" s="5">
        <v>0.9</v>
      </c>
      <c r="W893" s="5" t="s">
        <v>10</v>
      </c>
      <c r="X893" s="5">
        <v>47</v>
      </c>
      <c r="Y893" s="5" t="s">
        <v>48</v>
      </c>
      <c r="Z893" s="5" t="s">
        <v>48</v>
      </c>
      <c r="AA893" s="5" t="s">
        <v>68</v>
      </c>
      <c r="AB893" s="5"/>
      <c r="AC893" s="5"/>
      <c r="AD893" s="5"/>
      <c r="AE893" s="5"/>
      <c r="AF893" s="5" t="s">
        <v>68</v>
      </c>
      <c r="AG893" s="5"/>
      <c r="AH893" s="5"/>
      <c r="AI893" s="5"/>
      <c r="AJ893" s="5" t="s">
        <v>68</v>
      </c>
      <c r="AK893" s="5"/>
      <c r="AL893" s="5"/>
      <c r="AM893" s="5"/>
      <c r="AN893" s="5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</row>
    <row r="894" spans="1:240" ht="30" customHeight="1">
      <c r="A894" s="5">
        <v>892</v>
      </c>
      <c r="B894" s="5" t="s">
        <v>68</v>
      </c>
      <c r="C894" s="5"/>
      <c r="D894" s="5"/>
      <c r="E894" s="5">
        <v>1878</v>
      </c>
      <c r="F894" s="5">
        <v>1252</v>
      </c>
      <c r="G894" s="5">
        <f t="shared" si="27"/>
        <v>1340</v>
      </c>
      <c r="H894" s="5">
        <v>185</v>
      </c>
      <c r="I894" s="5" t="s">
        <v>17</v>
      </c>
      <c r="J894" s="24">
        <v>8.2643372040107028</v>
      </c>
      <c r="K894" s="30">
        <v>5</v>
      </c>
      <c r="L894" s="5">
        <v>44</v>
      </c>
      <c r="M894" s="31">
        <v>10</v>
      </c>
      <c r="N894" s="5">
        <v>22</v>
      </c>
      <c r="O894" s="5">
        <v>13550</v>
      </c>
      <c r="P894" s="5"/>
      <c r="Q894" s="5"/>
      <c r="R894" s="5">
        <v>1</v>
      </c>
      <c r="S894" s="5">
        <v>800</v>
      </c>
      <c r="T894" s="5" t="s">
        <v>48</v>
      </c>
      <c r="U894" s="5">
        <v>686</v>
      </c>
      <c r="V894" s="5">
        <v>0.6</v>
      </c>
      <c r="W894" s="5" t="s">
        <v>10</v>
      </c>
      <c r="X894" s="5">
        <v>44</v>
      </c>
      <c r="Y894" s="5" t="s">
        <v>48</v>
      </c>
      <c r="Z894" s="5" t="s">
        <v>48</v>
      </c>
      <c r="AA894" s="5" t="s">
        <v>68</v>
      </c>
      <c r="AB894" s="5"/>
      <c r="AC894" s="5"/>
      <c r="AD894" s="5"/>
      <c r="AE894" s="5"/>
      <c r="AF894" s="5" t="s">
        <v>68</v>
      </c>
      <c r="AG894" s="5"/>
      <c r="AH894" s="5"/>
      <c r="AI894" s="5"/>
      <c r="AJ894" s="5" t="s">
        <v>68</v>
      </c>
      <c r="AK894" s="5"/>
      <c r="AL894" s="5"/>
      <c r="AM894" s="5"/>
      <c r="AN894" s="5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</row>
    <row r="895" spans="1:240" ht="30" customHeight="1">
      <c r="A895" s="5">
        <v>893</v>
      </c>
      <c r="B895" s="5" t="s">
        <v>68</v>
      </c>
      <c r="C895" s="5"/>
      <c r="D895" s="5"/>
      <c r="E895" s="5">
        <v>1878</v>
      </c>
      <c r="F895" s="5">
        <v>1252</v>
      </c>
      <c r="G895" s="5">
        <f t="shared" si="27"/>
        <v>1340</v>
      </c>
      <c r="H895" s="5">
        <v>185</v>
      </c>
      <c r="I895" s="5" t="s">
        <v>17</v>
      </c>
      <c r="J895" s="24">
        <v>7.325207976282214</v>
      </c>
      <c r="K895" s="30">
        <v>5</v>
      </c>
      <c r="L895" s="5">
        <v>39</v>
      </c>
      <c r="M895" s="31">
        <v>10</v>
      </c>
      <c r="N895" s="5">
        <v>19</v>
      </c>
      <c r="O895" s="5">
        <v>11450</v>
      </c>
      <c r="P895" s="5"/>
      <c r="Q895" s="5"/>
      <c r="R895" s="5">
        <v>1</v>
      </c>
      <c r="S895" s="5">
        <v>800</v>
      </c>
      <c r="T895" s="5" t="s">
        <v>48</v>
      </c>
      <c r="U895" s="5">
        <v>588</v>
      </c>
      <c r="V895" s="5">
        <v>0.37</v>
      </c>
      <c r="W895" s="5" t="s">
        <v>10</v>
      </c>
      <c r="X895" s="5">
        <v>41</v>
      </c>
      <c r="Y895" s="5" t="s">
        <v>48</v>
      </c>
      <c r="Z895" s="5" t="s">
        <v>48</v>
      </c>
      <c r="AA895" s="5" t="s">
        <v>68</v>
      </c>
      <c r="AB895" s="5"/>
      <c r="AC895" s="5"/>
      <c r="AD895" s="5"/>
      <c r="AE895" s="5"/>
      <c r="AF895" s="5" t="s">
        <v>68</v>
      </c>
      <c r="AG895" s="5"/>
      <c r="AH895" s="5"/>
      <c r="AI895" s="5"/>
      <c r="AJ895" s="5" t="s">
        <v>68</v>
      </c>
      <c r="AK895" s="5"/>
      <c r="AL895" s="5"/>
      <c r="AM895" s="5"/>
      <c r="AN895" s="5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</row>
    <row r="896" spans="1:240" ht="30" customHeight="1">
      <c r="A896" s="5">
        <v>894</v>
      </c>
      <c r="B896" s="5" t="s">
        <v>68</v>
      </c>
      <c r="C896" s="5"/>
      <c r="D896" s="5"/>
      <c r="E896" s="5">
        <v>1878</v>
      </c>
      <c r="F896" s="5">
        <v>1252</v>
      </c>
      <c r="G896" s="5">
        <f t="shared" si="27"/>
        <v>1340</v>
      </c>
      <c r="H896" s="5">
        <v>185</v>
      </c>
      <c r="I896" s="5" t="s">
        <v>17</v>
      </c>
      <c r="J896" s="24">
        <v>6.3860787485537251</v>
      </c>
      <c r="K896" s="30">
        <v>5</v>
      </c>
      <c r="L896" s="5">
        <v>34</v>
      </c>
      <c r="M896" s="31">
        <v>10</v>
      </c>
      <c r="N896" s="5">
        <v>14</v>
      </c>
      <c r="O896" s="5">
        <v>9450</v>
      </c>
      <c r="P896" s="5"/>
      <c r="Q896" s="5"/>
      <c r="R896" s="5">
        <v>1</v>
      </c>
      <c r="S896" s="5">
        <v>800</v>
      </c>
      <c r="T896" s="5" t="s">
        <v>48</v>
      </c>
      <c r="U896" s="5">
        <v>490</v>
      </c>
      <c r="V896" s="5">
        <v>0.22</v>
      </c>
      <c r="W896" s="5" t="s">
        <v>10</v>
      </c>
      <c r="X896" s="5">
        <v>37</v>
      </c>
      <c r="Y896" s="5" t="s">
        <v>48</v>
      </c>
      <c r="Z896" s="5" t="s">
        <v>48</v>
      </c>
      <c r="AA896" s="5" t="s">
        <v>68</v>
      </c>
      <c r="AB896" s="5"/>
      <c r="AC896" s="5"/>
      <c r="AD896" s="5"/>
      <c r="AE896" s="5"/>
      <c r="AF896" s="5" t="s">
        <v>68</v>
      </c>
      <c r="AG896" s="5"/>
      <c r="AH896" s="5"/>
      <c r="AI896" s="5"/>
      <c r="AJ896" s="5" t="s">
        <v>68</v>
      </c>
      <c r="AK896" s="5"/>
      <c r="AL896" s="5"/>
      <c r="AM896" s="5"/>
      <c r="AN896" s="5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</row>
    <row r="897" spans="1:240" ht="30" customHeight="1">
      <c r="A897" s="5">
        <v>895</v>
      </c>
      <c r="B897" s="5" t="s">
        <v>68</v>
      </c>
      <c r="C897" s="5"/>
      <c r="D897" s="5"/>
      <c r="E897" s="5">
        <v>1878</v>
      </c>
      <c r="F897" s="5">
        <v>1252</v>
      </c>
      <c r="G897" s="5">
        <f t="shared" si="27"/>
        <v>1340</v>
      </c>
      <c r="H897" s="5">
        <v>185</v>
      </c>
      <c r="I897" s="5" t="s">
        <v>17</v>
      </c>
      <c r="J897" s="24">
        <v>5.2591236752795378</v>
      </c>
      <c r="K897" s="30">
        <v>5</v>
      </c>
      <c r="L897" s="5">
        <v>28</v>
      </c>
      <c r="M897" s="31">
        <v>10</v>
      </c>
      <c r="N897" s="5">
        <v>9</v>
      </c>
      <c r="O897" s="5">
        <v>7450</v>
      </c>
      <c r="P897" s="5"/>
      <c r="Q897" s="5"/>
      <c r="R897" s="5">
        <v>1</v>
      </c>
      <c r="S897" s="5">
        <v>800</v>
      </c>
      <c r="T897" s="5" t="s">
        <v>48</v>
      </c>
      <c r="U897" s="5">
        <v>392</v>
      </c>
      <c r="V897" s="5">
        <v>0.13</v>
      </c>
      <c r="W897" s="5" t="s">
        <v>10</v>
      </c>
      <c r="X897" s="5">
        <v>33</v>
      </c>
      <c r="Y897" s="5" t="s">
        <v>48</v>
      </c>
      <c r="Z897" s="5" t="s">
        <v>48</v>
      </c>
      <c r="AA897" s="5" t="s">
        <v>68</v>
      </c>
      <c r="AB897" s="5"/>
      <c r="AC897" s="5"/>
      <c r="AD897" s="5"/>
      <c r="AE897" s="5"/>
      <c r="AF897" s="5" t="s">
        <v>68</v>
      </c>
      <c r="AG897" s="5"/>
      <c r="AH897" s="5"/>
      <c r="AI897" s="5"/>
      <c r="AJ897" s="5" t="s">
        <v>68</v>
      </c>
      <c r="AK897" s="5"/>
      <c r="AL897" s="5"/>
      <c r="AM897" s="5"/>
      <c r="AN897" s="5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</row>
    <row r="898" spans="1:240" ht="30" customHeight="1">
      <c r="A898" s="5">
        <v>896</v>
      </c>
      <c r="B898" s="5" t="s">
        <v>68</v>
      </c>
      <c r="C898" s="5"/>
      <c r="D898" s="5"/>
      <c r="E898" s="5">
        <v>1878</v>
      </c>
      <c r="F898" s="5">
        <v>1252</v>
      </c>
      <c r="G898" s="5">
        <f t="shared" si="27"/>
        <v>1340</v>
      </c>
      <c r="H898" s="5">
        <v>185</v>
      </c>
      <c r="I898" s="5" t="s">
        <v>17</v>
      </c>
      <c r="J898" s="24">
        <v>3.9443427564596543</v>
      </c>
      <c r="K898" s="30">
        <v>5</v>
      </c>
      <c r="L898" s="5">
        <v>21</v>
      </c>
      <c r="M898" s="31">
        <v>10</v>
      </c>
      <c r="N898" s="5">
        <v>5</v>
      </c>
      <c r="O898" s="5">
        <v>5300</v>
      </c>
      <c r="P898" s="5"/>
      <c r="Q898" s="5"/>
      <c r="R898" s="5">
        <v>1</v>
      </c>
      <c r="S898" s="5">
        <v>800</v>
      </c>
      <c r="T898" s="5" t="s">
        <v>48</v>
      </c>
      <c r="U898" s="5">
        <v>294</v>
      </c>
      <c r="V898" s="5">
        <v>0.05</v>
      </c>
      <c r="W898" s="5" t="s">
        <v>10</v>
      </c>
      <c r="X898" s="5">
        <v>29</v>
      </c>
      <c r="Y898" s="5" t="s">
        <v>48</v>
      </c>
      <c r="Z898" s="5" t="s">
        <v>48</v>
      </c>
      <c r="AA898" s="5" t="s">
        <v>68</v>
      </c>
      <c r="AB898" s="5"/>
      <c r="AC898" s="5"/>
      <c r="AD898" s="5"/>
      <c r="AE898" s="5"/>
      <c r="AF898" s="5" t="s">
        <v>68</v>
      </c>
      <c r="AG898" s="5"/>
      <c r="AH898" s="5"/>
      <c r="AI898" s="5"/>
      <c r="AJ898" s="5" t="s">
        <v>68</v>
      </c>
      <c r="AK898" s="5"/>
      <c r="AL898" s="5"/>
      <c r="AM898" s="5"/>
      <c r="AN898" s="5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</row>
    <row r="899" spans="1:240" ht="30" customHeight="1">
      <c r="A899" s="5">
        <v>897</v>
      </c>
      <c r="B899" s="5" t="s">
        <v>68</v>
      </c>
      <c r="C899" s="5"/>
      <c r="D899" s="5"/>
      <c r="E899" s="5">
        <v>1878</v>
      </c>
      <c r="F899" s="5">
        <v>1252</v>
      </c>
      <c r="G899" s="5">
        <f t="shared" si="27"/>
        <v>1340</v>
      </c>
      <c r="H899" s="5">
        <v>200</v>
      </c>
      <c r="I899" s="5" t="s">
        <v>17</v>
      </c>
      <c r="J899" s="24">
        <v>12.396505806016053</v>
      </c>
      <c r="K899" s="30">
        <v>5</v>
      </c>
      <c r="L899" s="5">
        <v>66</v>
      </c>
      <c r="M899" s="31">
        <v>10</v>
      </c>
      <c r="N899" s="5">
        <v>49</v>
      </c>
      <c r="O899" s="5">
        <v>18900</v>
      </c>
      <c r="P899" s="5"/>
      <c r="Q899" s="5"/>
      <c r="R899" s="5">
        <v>1</v>
      </c>
      <c r="S899" s="5">
        <v>800</v>
      </c>
      <c r="T899" s="5" t="s">
        <v>48</v>
      </c>
      <c r="U899" s="5">
        <v>980</v>
      </c>
      <c r="V899" s="5">
        <v>1.75</v>
      </c>
      <c r="W899" s="5" t="s">
        <v>10</v>
      </c>
      <c r="X899" s="5">
        <v>52</v>
      </c>
      <c r="Y899" s="5" t="s">
        <v>48</v>
      </c>
      <c r="Z899" s="5" t="s">
        <v>48</v>
      </c>
      <c r="AA899" s="5" t="s">
        <v>68</v>
      </c>
      <c r="AB899" s="5"/>
      <c r="AC899" s="5"/>
      <c r="AD899" s="5"/>
      <c r="AE899" s="5"/>
      <c r="AF899" s="5" t="s">
        <v>68</v>
      </c>
      <c r="AG899" s="5"/>
      <c r="AH899" s="5"/>
      <c r="AI899" s="5"/>
      <c r="AJ899" s="5"/>
      <c r="AK899" s="5"/>
      <c r="AL899" s="5"/>
      <c r="AM899" s="5"/>
      <c r="AN899" s="5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</row>
    <row r="900" spans="1:240" ht="30" customHeight="1">
      <c r="A900" s="5">
        <v>898</v>
      </c>
      <c r="B900" s="5" t="s">
        <v>68</v>
      </c>
      <c r="C900" s="5"/>
      <c r="D900" s="5"/>
      <c r="E900" s="5">
        <v>1878</v>
      </c>
      <c r="F900" s="5">
        <v>1252</v>
      </c>
      <c r="G900" s="5">
        <f t="shared" si="27"/>
        <v>1340</v>
      </c>
      <c r="H900" s="5">
        <v>200</v>
      </c>
      <c r="I900" s="5" t="s">
        <v>17</v>
      </c>
      <c r="J900" s="24">
        <v>11.269550732741868</v>
      </c>
      <c r="K900" s="30">
        <v>5</v>
      </c>
      <c r="L900" s="5">
        <v>60</v>
      </c>
      <c r="M900" s="31">
        <v>10</v>
      </c>
      <c r="N900" s="5">
        <v>41</v>
      </c>
      <c r="O900" s="5">
        <v>16850</v>
      </c>
      <c r="P900" s="5"/>
      <c r="Q900" s="5"/>
      <c r="R900" s="5">
        <v>1</v>
      </c>
      <c r="S900" s="5">
        <v>800</v>
      </c>
      <c r="T900" s="5" t="s">
        <v>48</v>
      </c>
      <c r="U900" s="5">
        <v>882</v>
      </c>
      <c r="V900" s="5">
        <v>1.3</v>
      </c>
      <c r="W900" s="5" t="s">
        <v>10</v>
      </c>
      <c r="X900" s="5">
        <v>50</v>
      </c>
      <c r="Y900" s="5" t="s">
        <v>48</v>
      </c>
      <c r="Z900" s="5" t="s">
        <v>48</v>
      </c>
      <c r="AA900" s="5" t="s">
        <v>68</v>
      </c>
      <c r="AB900" s="5"/>
      <c r="AC900" s="5"/>
      <c r="AD900" s="5"/>
      <c r="AE900" s="5"/>
      <c r="AF900" s="5" t="s">
        <v>68</v>
      </c>
      <c r="AG900" s="5"/>
      <c r="AH900" s="5"/>
      <c r="AI900" s="5"/>
      <c r="AJ900" s="5"/>
      <c r="AK900" s="5"/>
      <c r="AL900" s="5"/>
      <c r="AM900" s="5"/>
      <c r="AN900" s="5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</row>
    <row r="901" spans="1:240" ht="30" customHeight="1">
      <c r="A901" s="5">
        <v>899</v>
      </c>
      <c r="B901" s="5" t="s">
        <v>68</v>
      </c>
      <c r="C901" s="5"/>
      <c r="D901" s="5"/>
      <c r="E901" s="5">
        <v>1878</v>
      </c>
      <c r="F901" s="5">
        <v>1252</v>
      </c>
      <c r="G901" s="5">
        <f t="shared" si="27"/>
        <v>1340</v>
      </c>
      <c r="H901" s="5">
        <v>200</v>
      </c>
      <c r="I901" s="5" t="s">
        <v>17</v>
      </c>
      <c r="J901" s="24">
        <v>10.33042150501338</v>
      </c>
      <c r="K901" s="30">
        <v>5</v>
      </c>
      <c r="L901" s="5">
        <v>55</v>
      </c>
      <c r="M901" s="31">
        <v>10</v>
      </c>
      <c r="N901" s="5">
        <v>35</v>
      </c>
      <c r="O901" s="5">
        <v>14850</v>
      </c>
      <c r="P901" s="5"/>
      <c r="Q901" s="5"/>
      <c r="R901" s="5">
        <v>1</v>
      </c>
      <c r="S901" s="5">
        <v>800</v>
      </c>
      <c r="T901" s="5" t="s">
        <v>48</v>
      </c>
      <c r="U901" s="5">
        <v>784</v>
      </c>
      <c r="V901" s="5">
        <v>0.9</v>
      </c>
      <c r="W901" s="5" t="s">
        <v>10</v>
      </c>
      <c r="X901" s="5">
        <v>47</v>
      </c>
      <c r="Y901" s="5" t="s">
        <v>48</v>
      </c>
      <c r="Z901" s="5" t="s">
        <v>48</v>
      </c>
      <c r="AA901" s="5" t="s">
        <v>68</v>
      </c>
      <c r="AB901" s="5"/>
      <c r="AC901" s="5"/>
      <c r="AD901" s="5"/>
      <c r="AE901" s="5"/>
      <c r="AF901" s="5" t="s">
        <v>68</v>
      </c>
      <c r="AG901" s="5"/>
      <c r="AH901" s="5"/>
      <c r="AI901" s="5"/>
      <c r="AJ901" s="5"/>
      <c r="AK901" s="5"/>
      <c r="AL901" s="5"/>
      <c r="AM901" s="5"/>
      <c r="AN901" s="5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</row>
    <row r="902" spans="1:240" ht="30" customHeight="1">
      <c r="A902" s="5">
        <v>900</v>
      </c>
      <c r="B902" s="5" t="s">
        <v>68</v>
      </c>
      <c r="C902" s="5"/>
      <c r="D902" s="5"/>
      <c r="E902" s="5">
        <v>1878</v>
      </c>
      <c r="F902" s="5">
        <v>1252</v>
      </c>
      <c r="G902" s="5">
        <f t="shared" si="27"/>
        <v>1340</v>
      </c>
      <c r="H902" s="5">
        <v>200</v>
      </c>
      <c r="I902" s="5" t="s">
        <v>17</v>
      </c>
      <c r="J902" s="24">
        <v>9.2034664317391925</v>
      </c>
      <c r="K902" s="30">
        <v>5</v>
      </c>
      <c r="L902" s="5">
        <v>49</v>
      </c>
      <c r="M902" s="31">
        <v>10</v>
      </c>
      <c r="N902" s="5">
        <v>29</v>
      </c>
      <c r="O902" s="5">
        <v>12800</v>
      </c>
      <c r="P902" s="5"/>
      <c r="Q902" s="5"/>
      <c r="R902" s="5">
        <v>1</v>
      </c>
      <c r="S902" s="5">
        <v>800</v>
      </c>
      <c r="T902" s="5" t="s">
        <v>48</v>
      </c>
      <c r="U902" s="5">
        <v>686</v>
      </c>
      <c r="V902" s="5">
        <v>0.6</v>
      </c>
      <c r="W902" s="5" t="s">
        <v>10</v>
      </c>
      <c r="X902" s="5">
        <v>44</v>
      </c>
      <c r="Y902" s="5" t="s">
        <v>48</v>
      </c>
      <c r="Z902" s="5" t="s">
        <v>48</v>
      </c>
      <c r="AA902" s="5" t="s">
        <v>68</v>
      </c>
      <c r="AB902" s="5"/>
      <c r="AC902" s="5"/>
      <c r="AD902" s="5"/>
      <c r="AE902" s="5"/>
      <c r="AF902" s="5" t="s">
        <v>68</v>
      </c>
      <c r="AG902" s="5"/>
      <c r="AH902" s="5"/>
      <c r="AI902" s="5"/>
      <c r="AJ902" s="5"/>
      <c r="AK902" s="5"/>
      <c r="AL902" s="5"/>
      <c r="AM902" s="5"/>
      <c r="AN902" s="5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</row>
    <row r="903" spans="1:240" ht="30" customHeight="1">
      <c r="A903" s="5">
        <v>901</v>
      </c>
      <c r="B903" s="5" t="s">
        <v>68</v>
      </c>
      <c r="C903" s="5"/>
      <c r="D903" s="5"/>
      <c r="E903" s="5">
        <v>1878</v>
      </c>
      <c r="F903" s="5">
        <v>1252</v>
      </c>
      <c r="G903" s="5">
        <f t="shared" si="27"/>
        <v>1340</v>
      </c>
      <c r="H903" s="5">
        <v>200</v>
      </c>
      <c r="I903" s="5" t="s">
        <v>17</v>
      </c>
      <c r="J903" s="24">
        <v>7.8886855129193085</v>
      </c>
      <c r="K903" s="30">
        <v>5</v>
      </c>
      <c r="L903" s="5">
        <v>42</v>
      </c>
      <c r="M903" s="31">
        <v>10</v>
      </c>
      <c r="N903" s="5">
        <v>23</v>
      </c>
      <c r="O903" s="5">
        <v>10750</v>
      </c>
      <c r="P903" s="5"/>
      <c r="Q903" s="5"/>
      <c r="R903" s="5">
        <v>1</v>
      </c>
      <c r="S903" s="5">
        <v>800</v>
      </c>
      <c r="T903" s="5" t="s">
        <v>48</v>
      </c>
      <c r="U903" s="5">
        <v>588</v>
      </c>
      <c r="V903" s="5">
        <v>0.37</v>
      </c>
      <c r="W903" s="5" t="s">
        <v>10</v>
      </c>
      <c r="X903" s="5">
        <v>41</v>
      </c>
      <c r="Y903" s="5" t="s">
        <v>48</v>
      </c>
      <c r="Z903" s="5" t="s">
        <v>48</v>
      </c>
      <c r="AA903" s="5" t="s">
        <v>68</v>
      </c>
      <c r="AB903" s="5"/>
      <c r="AC903" s="5"/>
      <c r="AD903" s="5"/>
      <c r="AE903" s="5"/>
      <c r="AF903" s="5" t="s">
        <v>68</v>
      </c>
      <c r="AG903" s="5"/>
      <c r="AH903" s="5"/>
      <c r="AI903" s="5"/>
      <c r="AJ903" s="5"/>
      <c r="AK903" s="5"/>
      <c r="AL903" s="5"/>
      <c r="AM903" s="5"/>
      <c r="AN903" s="5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</row>
    <row r="904" spans="1:240" ht="30" customHeight="1">
      <c r="A904" s="5">
        <v>902</v>
      </c>
      <c r="B904" s="5" t="s">
        <v>68</v>
      </c>
      <c r="C904" s="5"/>
      <c r="D904" s="5"/>
      <c r="E904" s="5">
        <v>1878</v>
      </c>
      <c r="F904" s="5">
        <v>1252</v>
      </c>
      <c r="G904" s="5">
        <f t="shared" si="27"/>
        <v>1340</v>
      </c>
      <c r="H904" s="5">
        <v>200</v>
      </c>
      <c r="I904" s="5" t="s">
        <v>17</v>
      </c>
      <c r="J904" s="24">
        <v>6.7617304396451203</v>
      </c>
      <c r="K904" s="30">
        <v>5</v>
      </c>
      <c r="L904" s="5">
        <v>36</v>
      </c>
      <c r="M904" s="31">
        <v>10</v>
      </c>
      <c r="N904" s="5">
        <v>17</v>
      </c>
      <c r="O904" s="5">
        <v>8850</v>
      </c>
      <c r="P904" s="5"/>
      <c r="Q904" s="5"/>
      <c r="R904" s="5">
        <v>1</v>
      </c>
      <c r="S904" s="5">
        <v>800</v>
      </c>
      <c r="T904" s="5" t="s">
        <v>48</v>
      </c>
      <c r="U904" s="5">
        <v>490</v>
      </c>
      <c r="V904" s="5">
        <v>0.22</v>
      </c>
      <c r="W904" s="5" t="s">
        <v>10</v>
      </c>
      <c r="X904" s="5">
        <v>37</v>
      </c>
      <c r="Y904" s="5" t="s">
        <v>48</v>
      </c>
      <c r="Z904" s="5" t="s">
        <v>48</v>
      </c>
      <c r="AA904" s="5" t="s">
        <v>68</v>
      </c>
      <c r="AB904" s="5"/>
      <c r="AC904" s="5"/>
      <c r="AD904" s="5"/>
      <c r="AE904" s="5"/>
      <c r="AF904" s="5" t="s">
        <v>68</v>
      </c>
      <c r="AG904" s="5"/>
      <c r="AH904" s="5"/>
      <c r="AI904" s="5"/>
      <c r="AJ904" s="5"/>
      <c r="AK904" s="5"/>
      <c r="AL904" s="5"/>
      <c r="AM904" s="5"/>
      <c r="AN904" s="5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</row>
    <row r="905" spans="1:240" ht="30" customHeight="1">
      <c r="A905" s="5">
        <v>903</v>
      </c>
      <c r="B905" s="5" t="s">
        <v>68</v>
      </c>
      <c r="C905" s="5"/>
      <c r="D905" s="5"/>
      <c r="E905" s="5">
        <v>1878</v>
      </c>
      <c r="F905" s="5">
        <v>1252</v>
      </c>
      <c r="G905" s="5">
        <f t="shared" si="27"/>
        <v>1340</v>
      </c>
      <c r="H905" s="5">
        <v>200</v>
      </c>
      <c r="I905" s="5" t="s">
        <v>17</v>
      </c>
      <c r="J905" s="24">
        <v>5.4469495208252363</v>
      </c>
      <c r="K905" s="30">
        <v>5</v>
      </c>
      <c r="L905" s="5">
        <v>29</v>
      </c>
      <c r="M905" s="31">
        <v>10</v>
      </c>
      <c r="N905" s="5">
        <v>11</v>
      </c>
      <c r="O905" s="5">
        <v>6950</v>
      </c>
      <c r="P905" s="5"/>
      <c r="Q905" s="5"/>
      <c r="R905" s="5">
        <v>1</v>
      </c>
      <c r="S905" s="5">
        <v>800</v>
      </c>
      <c r="T905" s="5" t="s">
        <v>48</v>
      </c>
      <c r="U905" s="5">
        <v>392</v>
      </c>
      <c r="V905" s="5">
        <v>0.13</v>
      </c>
      <c r="W905" s="5" t="s">
        <v>10</v>
      </c>
      <c r="X905" s="5">
        <v>33</v>
      </c>
      <c r="Y905" s="5" t="s">
        <v>48</v>
      </c>
      <c r="Z905" s="5" t="s">
        <v>48</v>
      </c>
      <c r="AA905" s="5" t="s">
        <v>68</v>
      </c>
      <c r="AB905" s="5"/>
      <c r="AC905" s="5"/>
      <c r="AD905" s="5"/>
      <c r="AE905" s="5"/>
      <c r="AF905" s="5" t="s">
        <v>68</v>
      </c>
      <c r="AG905" s="5"/>
      <c r="AH905" s="5"/>
      <c r="AI905" s="5"/>
      <c r="AJ905" s="5"/>
      <c r="AK905" s="5"/>
      <c r="AL905" s="5"/>
      <c r="AM905" s="5"/>
      <c r="AN905" s="5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</row>
    <row r="906" spans="1:240" ht="30" customHeight="1">
      <c r="A906" s="5">
        <v>904</v>
      </c>
      <c r="B906" s="5" t="s">
        <v>68</v>
      </c>
      <c r="C906" s="5"/>
      <c r="D906" s="5"/>
      <c r="E906" s="5">
        <v>1878</v>
      </c>
      <c r="F906" s="5">
        <v>1252</v>
      </c>
      <c r="G906" s="5">
        <f t="shared" si="27"/>
        <v>1340</v>
      </c>
      <c r="H906" s="5">
        <v>200</v>
      </c>
      <c r="I906" s="5" t="s">
        <v>17</v>
      </c>
      <c r="J906" s="24">
        <v>4.1321686020053514</v>
      </c>
      <c r="K906" s="30">
        <v>5</v>
      </c>
      <c r="L906" s="5">
        <v>22</v>
      </c>
      <c r="M906" s="31">
        <v>10</v>
      </c>
      <c r="N906" s="5">
        <v>6</v>
      </c>
      <c r="O906" s="5">
        <v>4950</v>
      </c>
      <c r="P906" s="5"/>
      <c r="Q906" s="5"/>
      <c r="R906" s="5">
        <v>1</v>
      </c>
      <c r="S906" s="5">
        <v>800</v>
      </c>
      <c r="T906" s="5" t="s">
        <v>48</v>
      </c>
      <c r="U906" s="5">
        <v>294</v>
      </c>
      <c r="V906" s="5">
        <v>0.05</v>
      </c>
      <c r="W906" s="5" t="s">
        <v>10</v>
      </c>
      <c r="X906" s="5">
        <v>29</v>
      </c>
      <c r="Y906" s="5" t="s">
        <v>48</v>
      </c>
      <c r="Z906" s="5" t="s">
        <v>48</v>
      </c>
      <c r="AA906" s="5" t="s">
        <v>68</v>
      </c>
      <c r="AB906" s="5"/>
      <c r="AC906" s="5"/>
      <c r="AD906" s="5"/>
      <c r="AE906" s="5"/>
      <c r="AF906" s="5" t="s">
        <v>68</v>
      </c>
      <c r="AG906" s="5"/>
      <c r="AH906" s="5"/>
      <c r="AI906" s="5"/>
      <c r="AJ906" s="5"/>
      <c r="AK906" s="5"/>
      <c r="AL906" s="5"/>
      <c r="AM906" s="5"/>
      <c r="AN906" s="5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</row>
    <row r="907" spans="1:240" ht="30" customHeight="1">
      <c r="A907" s="5">
        <v>905</v>
      </c>
      <c r="B907" s="5" t="s">
        <v>68</v>
      </c>
      <c r="C907" s="5"/>
      <c r="D907" s="5"/>
      <c r="E907" s="5">
        <v>3543</v>
      </c>
      <c r="F907" s="5">
        <v>1252</v>
      </c>
      <c r="G907" s="5">
        <v>1340</v>
      </c>
      <c r="H907" s="5">
        <v>305</v>
      </c>
      <c r="I907" s="5" t="s">
        <v>17</v>
      </c>
      <c r="J907" s="24">
        <v>21.412146392209547</v>
      </c>
      <c r="K907" s="30">
        <v>5</v>
      </c>
      <c r="L907" s="5">
        <v>114</v>
      </c>
      <c r="M907" s="31">
        <v>10</v>
      </c>
      <c r="N907" s="5">
        <v>36</v>
      </c>
      <c r="O907" s="5">
        <v>38650</v>
      </c>
      <c r="P907" s="5"/>
      <c r="Q907" s="5"/>
      <c r="R907" s="5">
        <v>2</v>
      </c>
      <c r="S907" s="5">
        <v>800</v>
      </c>
      <c r="T907" s="5" t="s">
        <v>48</v>
      </c>
      <c r="U907" s="5">
        <v>980</v>
      </c>
      <c r="V907" s="5">
        <v>3.5</v>
      </c>
      <c r="W907" s="5" t="s">
        <v>10</v>
      </c>
      <c r="X907" s="5">
        <v>55</v>
      </c>
      <c r="Y907" s="5" t="s">
        <v>48</v>
      </c>
      <c r="Z907" s="5" t="s">
        <v>48</v>
      </c>
      <c r="AA907" s="5" t="s">
        <v>68</v>
      </c>
      <c r="AB907" s="5"/>
      <c r="AC907" s="5"/>
      <c r="AD907" s="5"/>
      <c r="AE907" s="5"/>
      <c r="AF907" s="5" t="s">
        <v>68</v>
      </c>
      <c r="AG907" s="5"/>
      <c r="AH907" s="5"/>
      <c r="AI907" s="5"/>
      <c r="AJ907" s="5"/>
      <c r="AK907" s="5"/>
      <c r="AL907" s="5"/>
      <c r="AM907" s="5"/>
      <c r="AN907" s="5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</row>
    <row r="908" spans="1:240" ht="30" customHeight="1">
      <c r="A908" s="5">
        <v>906</v>
      </c>
      <c r="B908" s="5" t="s">
        <v>68</v>
      </c>
      <c r="C908" s="5"/>
      <c r="D908" s="5"/>
      <c r="E908" s="5">
        <v>3543</v>
      </c>
      <c r="F908" s="5">
        <v>1252</v>
      </c>
      <c r="G908" s="5">
        <v>1340</v>
      </c>
      <c r="H908" s="5">
        <v>305</v>
      </c>
      <c r="I908" s="5" t="s">
        <v>17</v>
      </c>
      <c r="J908" s="24">
        <v>19.721713782298266</v>
      </c>
      <c r="K908" s="30">
        <v>5</v>
      </c>
      <c r="L908" s="5">
        <v>105</v>
      </c>
      <c r="M908" s="31">
        <v>10</v>
      </c>
      <c r="N908" s="5">
        <v>31</v>
      </c>
      <c r="O908" s="5">
        <v>34350</v>
      </c>
      <c r="P908" s="5"/>
      <c r="Q908" s="5"/>
      <c r="R908" s="5">
        <v>2</v>
      </c>
      <c r="S908" s="5">
        <v>800</v>
      </c>
      <c r="T908" s="5" t="s">
        <v>48</v>
      </c>
      <c r="U908" s="5">
        <v>882</v>
      </c>
      <c r="V908" s="5">
        <v>2.6</v>
      </c>
      <c r="W908" s="5" t="s">
        <v>10</v>
      </c>
      <c r="X908" s="5">
        <v>53</v>
      </c>
      <c r="Y908" s="5" t="s">
        <v>48</v>
      </c>
      <c r="Z908" s="5" t="s">
        <v>48</v>
      </c>
      <c r="AA908" s="5" t="s">
        <v>68</v>
      </c>
      <c r="AB908" s="5"/>
      <c r="AC908" s="5"/>
      <c r="AD908" s="5"/>
      <c r="AE908" s="5"/>
      <c r="AF908" s="5" t="s">
        <v>68</v>
      </c>
      <c r="AG908" s="5"/>
      <c r="AH908" s="5"/>
      <c r="AI908" s="5"/>
      <c r="AJ908" s="5"/>
      <c r="AK908" s="5"/>
      <c r="AL908" s="5"/>
      <c r="AM908" s="5"/>
      <c r="AN908" s="5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</row>
    <row r="909" spans="1:240" ht="30" customHeight="1">
      <c r="A909" s="5">
        <v>907</v>
      </c>
      <c r="B909" s="5" t="s">
        <v>68</v>
      </c>
      <c r="C909" s="5"/>
      <c r="D909" s="5"/>
      <c r="E909" s="5">
        <v>3543</v>
      </c>
      <c r="F909" s="5">
        <v>1252</v>
      </c>
      <c r="G909" s="5">
        <v>1340</v>
      </c>
      <c r="H909" s="5">
        <v>305</v>
      </c>
      <c r="I909" s="5" t="s">
        <v>17</v>
      </c>
      <c r="J909" s="24">
        <v>18.031281172386986</v>
      </c>
      <c r="K909" s="30">
        <v>5</v>
      </c>
      <c r="L909" s="5">
        <v>96</v>
      </c>
      <c r="M909" s="31">
        <v>10</v>
      </c>
      <c r="N909" s="5">
        <v>28</v>
      </c>
      <c r="O909" s="5">
        <v>30250</v>
      </c>
      <c r="P909" s="5"/>
      <c r="Q909" s="5"/>
      <c r="R909" s="5">
        <v>2</v>
      </c>
      <c r="S909" s="5">
        <v>800</v>
      </c>
      <c r="T909" s="5" t="s">
        <v>48</v>
      </c>
      <c r="U909" s="5">
        <v>784</v>
      </c>
      <c r="V909" s="5">
        <v>1.8</v>
      </c>
      <c r="W909" s="5" t="s">
        <v>10</v>
      </c>
      <c r="X909" s="5">
        <v>50</v>
      </c>
      <c r="Y909" s="5" t="s">
        <v>48</v>
      </c>
      <c r="Z909" s="5" t="s">
        <v>48</v>
      </c>
      <c r="AA909" s="5" t="s">
        <v>68</v>
      </c>
      <c r="AB909" s="5"/>
      <c r="AC909" s="5"/>
      <c r="AD909" s="5"/>
      <c r="AE909" s="5"/>
      <c r="AF909" s="5" t="s">
        <v>68</v>
      </c>
      <c r="AG909" s="5"/>
      <c r="AH909" s="5"/>
      <c r="AI909" s="5"/>
      <c r="AJ909" s="5"/>
      <c r="AK909" s="5"/>
      <c r="AL909" s="5"/>
      <c r="AM909" s="5"/>
      <c r="AN909" s="5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</row>
    <row r="910" spans="1:240" ht="30" customHeight="1">
      <c r="A910" s="5">
        <v>908</v>
      </c>
      <c r="B910" s="5" t="s">
        <v>68</v>
      </c>
      <c r="C910" s="5"/>
      <c r="D910" s="5"/>
      <c r="E910" s="5">
        <v>3543</v>
      </c>
      <c r="F910" s="5">
        <v>1252</v>
      </c>
      <c r="G910" s="5">
        <v>1340</v>
      </c>
      <c r="H910" s="5">
        <v>305</v>
      </c>
      <c r="I910" s="5" t="s">
        <v>17</v>
      </c>
      <c r="J910" s="24">
        <v>16.340848562475706</v>
      </c>
      <c r="K910" s="30">
        <v>5</v>
      </c>
      <c r="L910" s="5">
        <v>87</v>
      </c>
      <c r="M910" s="31">
        <v>10</v>
      </c>
      <c r="N910" s="5">
        <v>23</v>
      </c>
      <c r="O910" s="5">
        <v>26000</v>
      </c>
      <c r="P910" s="5"/>
      <c r="Q910" s="5"/>
      <c r="R910" s="5">
        <v>2</v>
      </c>
      <c r="S910" s="5">
        <v>800</v>
      </c>
      <c r="T910" s="5" t="s">
        <v>48</v>
      </c>
      <c r="U910" s="5">
        <v>686</v>
      </c>
      <c r="V910" s="5">
        <v>1.2</v>
      </c>
      <c r="W910" s="5" t="s">
        <v>10</v>
      </c>
      <c r="X910" s="5">
        <v>47</v>
      </c>
      <c r="Y910" s="5" t="s">
        <v>48</v>
      </c>
      <c r="Z910" s="5" t="s">
        <v>48</v>
      </c>
      <c r="AA910" s="5" t="s">
        <v>68</v>
      </c>
      <c r="AB910" s="5"/>
      <c r="AC910" s="5"/>
      <c r="AD910" s="5"/>
      <c r="AE910" s="5"/>
      <c r="AF910" s="5" t="s">
        <v>68</v>
      </c>
      <c r="AG910" s="5"/>
      <c r="AH910" s="5"/>
      <c r="AI910" s="5"/>
      <c r="AJ910" s="5"/>
      <c r="AK910" s="5"/>
      <c r="AL910" s="5"/>
      <c r="AM910" s="5"/>
      <c r="AN910" s="5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</row>
    <row r="911" spans="1:240" ht="30" customHeight="1">
      <c r="A911" s="5">
        <v>909</v>
      </c>
      <c r="B911" s="5" t="s">
        <v>68</v>
      </c>
      <c r="C911" s="5"/>
      <c r="D911" s="5"/>
      <c r="E911" s="5">
        <v>3543</v>
      </c>
      <c r="F911" s="5">
        <v>1252</v>
      </c>
      <c r="G911" s="5">
        <v>1340</v>
      </c>
      <c r="H911" s="5">
        <v>305</v>
      </c>
      <c r="I911" s="5" t="s">
        <v>17</v>
      </c>
      <c r="J911" s="24">
        <v>14.46259010701873</v>
      </c>
      <c r="K911" s="30">
        <v>5</v>
      </c>
      <c r="L911" s="5">
        <v>77</v>
      </c>
      <c r="M911" s="31">
        <v>10</v>
      </c>
      <c r="N911" s="5">
        <v>19</v>
      </c>
      <c r="O911" s="5">
        <v>21850</v>
      </c>
      <c r="P911" s="5"/>
      <c r="Q911" s="5"/>
      <c r="R911" s="5">
        <v>2</v>
      </c>
      <c r="S911" s="5">
        <v>800</v>
      </c>
      <c r="T911" s="5" t="s">
        <v>48</v>
      </c>
      <c r="U911" s="5">
        <v>588</v>
      </c>
      <c r="V911" s="5">
        <v>0.74</v>
      </c>
      <c r="W911" s="5" t="s">
        <v>10</v>
      </c>
      <c r="X911" s="5">
        <v>44</v>
      </c>
      <c r="Y911" s="5" t="s">
        <v>48</v>
      </c>
      <c r="Z911" s="5" t="s">
        <v>48</v>
      </c>
      <c r="AA911" s="5" t="s">
        <v>68</v>
      </c>
      <c r="AB911" s="5"/>
      <c r="AC911" s="5"/>
      <c r="AD911" s="5"/>
      <c r="AE911" s="5"/>
      <c r="AF911" s="5" t="s">
        <v>68</v>
      </c>
      <c r="AG911" s="5"/>
      <c r="AH911" s="5"/>
      <c r="AI911" s="5"/>
      <c r="AJ911" s="5"/>
      <c r="AK911" s="5"/>
      <c r="AL911" s="5"/>
      <c r="AM911" s="5"/>
      <c r="AN911" s="5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</row>
    <row r="912" spans="1:240" ht="30" customHeight="1">
      <c r="A912" s="5">
        <v>910</v>
      </c>
      <c r="B912" s="5" t="s">
        <v>68</v>
      </c>
      <c r="C912" s="5"/>
      <c r="D912" s="5"/>
      <c r="E912" s="5">
        <v>3543</v>
      </c>
      <c r="F912" s="5">
        <v>1252</v>
      </c>
      <c r="G912" s="5">
        <v>1340</v>
      </c>
      <c r="H912" s="5">
        <v>305</v>
      </c>
      <c r="I912" s="5" t="s">
        <v>17</v>
      </c>
      <c r="J912" s="24">
        <v>12.584331651561753</v>
      </c>
      <c r="K912" s="30">
        <v>5</v>
      </c>
      <c r="L912" s="5">
        <v>67</v>
      </c>
      <c r="M912" s="31">
        <v>10</v>
      </c>
      <c r="N912" s="5">
        <v>16</v>
      </c>
      <c r="O912" s="5">
        <v>17900</v>
      </c>
      <c r="P912" s="5"/>
      <c r="Q912" s="5"/>
      <c r="R912" s="5">
        <v>2</v>
      </c>
      <c r="S912" s="5">
        <v>800</v>
      </c>
      <c r="T912" s="5" t="s">
        <v>48</v>
      </c>
      <c r="U912" s="5">
        <v>490</v>
      </c>
      <c r="V912" s="5">
        <v>0.44</v>
      </c>
      <c r="W912" s="5" t="s">
        <v>10</v>
      </c>
      <c r="X912" s="5">
        <v>40</v>
      </c>
      <c r="Y912" s="5" t="s">
        <v>48</v>
      </c>
      <c r="Z912" s="5" t="s">
        <v>48</v>
      </c>
      <c r="AA912" s="5" t="s">
        <v>68</v>
      </c>
      <c r="AB912" s="5"/>
      <c r="AC912" s="5"/>
      <c r="AD912" s="5"/>
      <c r="AE912" s="5"/>
      <c r="AF912" s="5" t="s">
        <v>68</v>
      </c>
      <c r="AG912" s="5"/>
      <c r="AH912" s="5"/>
      <c r="AI912" s="5"/>
      <c r="AJ912" s="5"/>
      <c r="AK912" s="5"/>
      <c r="AL912" s="5"/>
      <c r="AM912" s="5"/>
      <c r="AN912" s="5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/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</row>
    <row r="913" spans="1:240" ht="30" customHeight="1">
      <c r="A913" s="5">
        <v>911</v>
      </c>
      <c r="B913" s="5" t="s">
        <v>68</v>
      </c>
      <c r="C913" s="5"/>
      <c r="D913" s="5"/>
      <c r="E913" s="5">
        <v>3543</v>
      </c>
      <c r="F913" s="5">
        <v>1252</v>
      </c>
      <c r="G913" s="5">
        <v>1340</v>
      </c>
      <c r="H913" s="5">
        <v>305</v>
      </c>
      <c r="I913" s="5" t="s">
        <v>17</v>
      </c>
      <c r="J913" s="24">
        <v>10.518247350559076</v>
      </c>
      <c r="K913" s="30">
        <v>5</v>
      </c>
      <c r="L913" s="5">
        <v>56</v>
      </c>
      <c r="M913" s="31">
        <v>10</v>
      </c>
      <c r="N913" s="5">
        <v>11</v>
      </c>
      <c r="O913" s="5">
        <v>14050</v>
      </c>
      <c r="P913" s="5"/>
      <c r="Q913" s="5"/>
      <c r="R913" s="5">
        <v>2</v>
      </c>
      <c r="S913" s="5">
        <v>800</v>
      </c>
      <c r="T913" s="5" t="s">
        <v>48</v>
      </c>
      <c r="U913" s="5">
        <v>392</v>
      </c>
      <c r="V913" s="5">
        <v>0.26</v>
      </c>
      <c r="W913" s="5" t="s">
        <v>10</v>
      </c>
      <c r="X913" s="5">
        <v>36</v>
      </c>
      <c r="Y913" s="5" t="s">
        <v>48</v>
      </c>
      <c r="Z913" s="5" t="s">
        <v>48</v>
      </c>
      <c r="AA913" s="5" t="s">
        <v>68</v>
      </c>
      <c r="AB913" s="5"/>
      <c r="AC913" s="5"/>
      <c r="AD913" s="5"/>
      <c r="AE913" s="5"/>
      <c r="AF913" s="5" t="s">
        <v>68</v>
      </c>
      <c r="AG913" s="5"/>
      <c r="AH913" s="5"/>
      <c r="AI913" s="5"/>
      <c r="AJ913" s="5"/>
      <c r="AK913" s="5"/>
      <c r="AL913" s="5"/>
      <c r="AM913" s="5"/>
      <c r="AN913" s="5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</row>
    <row r="914" spans="1:240" ht="30" customHeight="1">
      <c r="A914" s="5">
        <v>912</v>
      </c>
      <c r="B914" s="5" t="s">
        <v>68</v>
      </c>
      <c r="C914" s="5"/>
      <c r="D914" s="5"/>
      <c r="E914" s="5">
        <v>3543</v>
      </c>
      <c r="F914" s="5">
        <v>1252</v>
      </c>
      <c r="G914" s="5">
        <v>1340</v>
      </c>
      <c r="H914" s="5">
        <v>305</v>
      </c>
      <c r="I914" s="5" t="s">
        <v>17</v>
      </c>
      <c r="J914" s="24">
        <v>8.0765113584650052</v>
      </c>
      <c r="K914" s="30">
        <v>5</v>
      </c>
      <c r="L914" s="5">
        <v>43</v>
      </c>
      <c r="M914" s="31">
        <v>10</v>
      </c>
      <c r="N914" s="5">
        <v>6</v>
      </c>
      <c r="O914" s="5">
        <v>9950</v>
      </c>
      <c r="P914" s="5"/>
      <c r="Q914" s="5"/>
      <c r="R914" s="5">
        <v>2</v>
      </c>
      <c r="S914" s="5">
        <v>800</v>
      </c>
      <c r="T914" s="5" t="s">
        <v>48</v>
      </c>
      <c r="U914" s="5">
        <v>294</v>
      </c>
      <c r="V914" s="5">
        <v>0.1</v>
      </c>
      <c r="W914" s="5" t="s">
        <v>10</v>
      </c>
      <c r="X914" s="5">
        <v>32</v>
      </c>
      <c r="Y914" s="5" t="s">
        <v>48</v>
      </c>
      <c r="Z914" s="5" t="s">
        <v>48</v>
      </c>
      <c r="AA914" s="5" t="s">
        <v>68</v>
      </c>
      <c r="AB914" s="5"/>
      <c r="AC914" s="5"/>
      <c r="AD914" s="5"/>
      <c r="AE914" s="5"/>
      <c r="AF914" s="5" t="s">
        <v>68</v>
      </c>
      <c r="AG914" s="5"/>
      <c r="AH914" s="5"/>
      <c r="AI914" s="5"/>
      <c r="AJ914" s="5"/>
      <c r="AK914" s="5"/>
      <c r="AL914" s="5"/>
      <c r="AM914" s="5"/>
      <c r="AN914" s="5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</row>
    <row r="915" spans="1:240" ht="30" customHeight="1">
      <c r="A915" s="5">
        <v>913</v>
      </c>
      <c r="B915" s="5" t="s">
        <v>68</v>
      </c>
      <c r="C915" s="5"/>
      <c r="D915" s="5"/>
      <c r="E915" s="5">
        <v>3543</v>
      </c>
      <c r="F915" s="5">
        <v>1252</v>
      </c>
      <c r="G915" s="5">
        <v>1340</v>
      </c>
      <c r="H915" s="5">
        <v>335</v>
      </c>
      <c r="I915" s="5" t="s">
        <v>17</v>
      </c>
      <c r="J915" s="24">
        <v>24.04170822984932</v>
      </c>
      <c r="K915" s="30">
        <v>5</v>
      </c>
      <c r="L915" s="5">
        <v>128</v>
      </c>
      <c r="M915" s="31">
        <v>10</v>
      </c>
      <c r="N915" s="5">
        <v>26</v>
      </c>
      <c r="O915" s="5">
        <v>35750</v>
      </c>
      <c r="P915" s="5"/>
      <c r="Q915" s="5"/>
      <c r="R915" s="5">
        <v>2</v>
      </c>
      <c r="S915" s="5">
        <v>800</v>
      </c>
      <c r="T915" s="5" t="s">
        <v>48</v>
      </c>
      <c r="U915" s="5">
        <v>980</v>
      </c>
      <c r="V915" s="5">
        <v>3.5</v>
      </c>
      <c r="W915" s="5" t="s">
        <v>10</v>
      </c>
      <c r="X915" s="5">
        <v>55</v>
      </c>
      <c r="Y915" s="5" t="s">
        <v>48</v>
      </c>
      <c r="Z915" s="5" t="s">
        <v>48</v>
      </c>
      <c r="AA915" s="5" t="s">
        <v>68</v>
      </c>
      <c r="AB915" s="5"/>
      <c r="AC915" s="5"/>
      <c r="AD915" s="5"/>
      <c r="AE915" s="5"/>
      <c r="AF915" s="5" t="s">
        <v>68</v>
      </c>
      <c r="AG915" s="5"/>
      <c r="AH915" s="5"/>
      <c r="AI915" s="5"/>
      <c r="AJ915" s="5"/>
      <c r="AK915" s="5"/>
      <c r="AL915" s="5"/>
      <c r="AM915" s="5"/>
      <c r="AN915" s="5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</row>
    <row r="916" spans="1:240" ht="30" customHeight="1">
      <c r="A916" s="5">
        <v>914</v>
      </c>
      <c r="B916" s="5" t="s">
        <v>68</v>
      </c>
      <c r="C916" s="5"/>
      <c r="D916" s="5"/>
      <c r="E916" s="5">
        <v>3543</v>
      </c>
      <c r="F916" s="5">
        <v>1252</v>
      </c>
      <c r="G916" s="5">
        <v>1340</v>
      </c>
      <c r="H916" s="5">
        <v>335</v>
      </c>
      <c r="I916" s="5" t="s">
        <v>17</v>
      </c>
      <c r="J916" s="24">
        <v>21.599972237755246</v>
      </c>
      <c r="K916" s="30">
        <v>5</v>
      </c>
      <c r="L916" s="5">
        <v>115</v>
      </c>
      <c r="M916" s="31">
        <v>10</v>
      </c>
      <c r="N916" s="5">
        <v>23</v>
      </c>
      <c r="O916" s="5">
        <v>31750</v>
      </c>
      <c r="P916" s="5"/>
      <c r="Q916" s="5"/>
      <c r="R916" s="5">
        <v>2</v>
      </c>
      <c r="S916" s="5">
        <v>800</v>
      </c>
      <c r="T916" s="5" t="s">
        <v>48</v>
      </c>
      <c r="U916" s="5">
        <v>882</v>
      </c>
      <c r="V916" s="5">
        <v>2.6</v>
      </c>
      <c r="W916" s="5" t="s">
        <v>10</v>
      </c>
      <c r="X916" s="5">
        <v>53</v>
      </c>
      <c r="Y916" s="5" t="s">
        <v>48</v>
      </c>
      <c r="Z916" s="5" t="s">
        <v>48</v>
      </c>
      <c r="AA916" s="5" t="s">
        <v>68</v>
      </c>
      <c r="AB916" s="5"/>
      <c r="AC916" s="5"/>
      <c r="AD916" s="5"/>
      <c r="AE916" s="5"/>
      <c r="AF916" s="5" t="s">
        <v>68</v>
      </c>
      <c r="AG916" s="5"/>
      <c r="AH916" s="5"/>
      <c r="AI916" s="5"/>
      <c r="AJ916" s="5"/>
      <c r="AK916" s="5"/>
      <c r="AL916" s="5"/>
      <c r="AM916" s="5"/>
      <c r="AN916" s="5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</row>
    <row r="917" spans="1:240" ht="30" customHeight="1">
      <c r="A917" s="5">
        <v>915</v>
      </c>
      <c r="B917" s="5" t="s">
        <v>68</v>
      </c>
      <c r="C917" s="5"/>
      <c r="D917" s="5"/>
      <c r="E917" s="5">
        <v>3543</v>
      </c>
      <c r="F917" s="5">
        <v>1252</v>
      </c>
      <c r="G917" s="5">
        <v>1340</v>
      </c>
      <c r="H917" s="5">
        <v>335</v>
      </c>
      <c r="I917" s="5" t="s">
        <v>17</v>
      </c>
      <c r="J917" s="24">
        <v>19.346062091206871</v>
      </c>
      <c r="K917" s="30">
        <v>5</v>
      </c>
      <c r="L917" s="5">
        <v>103</v>
      </c>
      <c r="M917" s="31">
        <v>10</v>
      </c>
      <c r="N917" s="5">
        <v>20</v>
      </c>
      <c r="O917" s="5">
        <v>27850</v>
      </c>
      <c r="P917" s="5"/>
      <c r="Q917" s="5"/>
      <c r="R917" s="5">
        <v>2</v>
      </c>
      <c r="S917" s="5">
        <v>800</v>
      </c>
      <c r="T917" s="5" t="s">
        <v>48</v>
      </c>
      <c r="U917" s="5">
        <v>784</v>
      </c>
      <c r="V917" s="5">
        <v>1.8</v>
      </c>
      <c r="W917" s="5" t="s">
        <v>10</v>
      </c>
      <c r="X917" s="5">
        <v>50</v>
      </c>
      <c r="Y917" s="5" t="s">
        <v>48</v>
      </c>
      <c r="Z917" s="5" t="s">
        <v>48</v>
      </c>
      <c r="AA917" s="5" t="s">
        <v>68</v>
      </c>
      <c r="AB917" s="5"/>
      <c r="AC917" s="5"/>
      <c r="AD917" s="5"/>
      <c r="AE917" s="5"/>
      <c r="AF917" s="5" t="s">
        <v>68</v>
      </c>
      <c r="AG917" s="5"/>
      <c r="AH917" s="5"/>
      <c r="AI917" s="5"/>
      <c r="AJ917" s="5"/>
      <c r="AK917" s="5"/>
      <c r="AL917" s="5"/>
      <c r="AM917" s="5"/>
      <c r="AN917" s="5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</row>
    <row r="918" spans="1:240" ht="30" customHeight="1">
      <c r="A918" s="5">
        <v>916</v>
      </c>
      <c r="B918" s="5" t="s">
        <v>68</v>
      </c>
      <c r="C918" s="5"/>
      <c r="D918" s="5"/>
      <c r="E918" s="5">
        <v>3543</v>
      </c>
      <c r="F918" s="5">
        <v>1252</v>
      </c>
      <c r="G918" s="5">
        <v>1340</v>
      </c>
      <c r="H918" s="5">
        <v>335</v>
      </c>
      <c r="I918" s="5" t="s">
        <v>17</v>
      </c>
      <c r="J918" s="24">
        <v>17.279977790204196</v>
      </c>
      <c r="K918" s="30">
        <v>5</v>
      </c>
      <c r="L918" s="5">
        <v>92</v>
      </c>
      <c r="M918" s="31">
        <v>10</v>
      </c>
      <c r="N918" s="5">
        <v>16</v>
      </c>
      <c r="O918" s="5">
        <v>23900</v>
      </c>
      <c r="P918" s="5"/>
      <c r="Q918" s="5"/>
      <c r="R918" s="5">
        <v>2</v>
      </c>
      <c r="S918" s="5">
        <v>800</v>
      </c>
      <c r="T918" s="5" t="s">
        <v>48</v>
      </c>
      <c r="U918" s="5">
        <v>686</v>
      </c>
      <c r="V918" s="5">
        <v>1.2</v>
      </c>
      <c r="W918" s="5" t="s">
        <v>10</v>
      </c>
      <c r="X918" s="5">
        <v>47</v>
      </c>
      <c r="Y918" s="5" t="s">
        <v>48</v>
      </c>
      <c r="Z918" s="5" t="s">
        <v>48</v>
      </c>
      <c r="AA918" s="5" t="s">
        <v>68</v>
      </c>
      <c r="AB918" s="5"/>
      <c r="AC918" s="5"/>
      <c r="AD918" s="5"/>
      <c r="AE918" s="5"/>
      <c r="AF918" s="5" t="s">
        <v>68</v>
      </c>
      <c r="AG918" s="5"/>
      <c r="AH918" s="5"/>
      <c r="AI918" s="5"/>
      <c r="AJ918" s="5"/>
      <c r="AK918" s="5"/>
      <c r="AL918" s="5"/>
      <c r="AM918" s="5"/>
      <c r="AN918" s="5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</row>
    <row r="919" spans="1:240" ht="30" customHeight="1">
      <c r="A919" s="5">
        <v>917</v>
      </c>
      <c r="B919" s="5" t="s">
        <v>68</v>
      </c>
      <c r="C919" s="5"/>
      <c r="D919" s="5"/>
      <c r="E919" s="5">
        <v>3543</v>
      </c>
      <c r="F919" s="5">
        <v>1252</v>
      </c>
      <c r="G919" s="5">
        <v>1340</v>
      </c>
      <c r="H919" s="5">
        <v>335</v>
      </c>
      <c r="I919" s="5" t="s">
        <v>17</v>
      </c>
      <c r="J919" s="24">
        <v>15.213893489201521</v>
      </c>
      <c r="K919" s="30">
        <v>5</v>
      </c>
      <c r="L919" s="5">
        <v>81</v>
      </c>
      <c r="M919" s="31">
        <v>10</v>
      </c>
      <c r="N919" s="5">
        <v>13</v>
      </c>
      <c r="O919" s="5">
        <v>20100</v>
      </c>
      <c r="P919" s="5"/>
      <c r="Q919" s="5"/>
      <c r="R919" s="5">
        <v>2</v>
      </c>
      <c r="S919" s="5">
        <v>800</v>
      </c>
      <c r="T919" s="5" t="s">
        <v>48</v>
      </c>
      <c r="U919" s="5">
        <v>588</v>
      </c>
      <c r="V919" s="5">
        <v>0.74</v>
      </c>
      <c r="W919" s="5" t="s">
        <v>10</v>
      </c>
      <c r="X919" s="5">
        <v>44</v>
      </c>
      <c r="Y919" s="5" t="s">
        <v>48</v>
      </c>
      <c r="Z919" s="5" t="s">
        <v>48</v>
      </c>
      <c r="AA919" s="5" t="s">
        <v>68</v>
      </c>
      <c r="AB919" s="5"/>
      <c r="AC919" s="5"/>
      <c r="AD919" s="5"/>
      <c r="AE919" s="5"/>
      <c r="AF919" s="5" t="s">
        <v>68</v>
      </c>
      <c r="AG919" s="5"/>
      <c r="AH919" s="5"/>
      <c r="AI919" s="5"/>
      <c r="AJ919" s="5"/>
      <c r="AK919" s="5"/>
      <c r="AL919" s="5"/>
      <c r="AM919" s="5"/>
      <c r="AN919" s="5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/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</row>
    <row r="920" spans="1:240" ht="30" customHeight="1">
      <c r="A920" s="5">
        <v>918</v>
      </c>
      <c r="B920" s="5" t="s">
        <v>68</v>
      </c>
      <c r="C920" s="5"/>
      <c r="D920" s="5"/>
      <c r="E920" s="5">
        <v>3543</v>
      </c>
      <c r="F920" s="5">
        <v>1252</v>
      </c>
      <c r="G920" s="5">
        <v>1340</v>
      </c>
      <c r="H920" s="5">
        <v>335</v>
      </c>
      <c r="I920" s="5" t="s">
        <v>17</v>
      </c>
      <c r="J920" s="24">
        <v>12.77215749710745</v>
      </c>
      <c r="K920" s="30">
        <v>5</v>
      </c>
      <c r="L920" s="5">
        <v>68</v>
      </c>
      <c r="M920" s="31">
        <v>10</v>
      </c>
      <c r="N920" s="5">
        <v>10</v>
      </c>
      <c r="O920" s="5">
        <v>16300</v>
      </c>
      <c r="P920" s="5"/>
      <c r="Q920" s="5"/>
      <c r="R920" s="5">
        <v>2</v>
      </c>
      <c r="S920" s="5">
        <v>800</v>
      </c>
      <c r="T920" s="5" t="s">
        <v>48</v>
      </c>
      <c r="U920" s="5">
        <v>490</v>
      </c>
      <c r="V920" s="5">
        <v>0.44</v>
      </c>
      <c r="W920" s="5" t="s">
        <v>10</v>
      </c>
      <c r="X920" s="5">
        <v>40</v>
      </c>
      <c r="Y920" s="5" t="s">
        <v>48</v>
      </c>
      <c r="Z920" s="5" t="s">
        <v>48</v>
      </c>
      <c r="AA920" s="5" t="s">
        <v>68</v>
      </c>
      <c r="AB920" s="5"/>
      <c r="AC920" s="5"/>
      <c r="AD920" s="5"/>
      <c r="AE920" s="5"/>
      <c r="AF920" s="5" t="s">
        <v>68</v>
      </c>
      <c r="AG920" s="5"/>
      <c r="AH920" s="5"/>
      <c r="AI920" s="5"/>
      <c r="AJ920" s="5"/>
      <c r="AK920" s="5"/>
      <c r="AL920" s="5"/>
      <c r="AM920" s="5"/>
      <c r="AN920" s="5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</row>
    <row r="921" spans="1:240" ht="30" customHeight="1">
      <c r="A921" s="5">
        <v>919</v>
      </c>
      <c r="B921" s="5" t="s">
        <v>68</v>
      </c>
      <c r="C921" s="5"/>
      <c r="D921" s="5"/>
      <c r="E921" s="5">
        <v>3543</v>
      </c>
      <c r="F921" s="5">
        <v>1252</v>
      </c>
      <c r="G921" s="5">
        <v>1340</v>
      </c>
      <c r="H921" s="5">
        <v>335</v>
      </c>
      <c r="I921" s="5" t="s">
        <v>17</v>
      </c>
      <c r="J921" s="24">
        <v>10.518247350559076</v>
      </c>
      <c r="K921" s="30">
        <v>5</v>
      </c>
      <c r="L921" s="5">
        <v>56</v>
      </c>
      <c r="M921" s="31">
        <v>10</v>
      </c>
      <c r="N921" s="5">
        <v>7</v>
      </c>
      <c r="O921" s="5">
        <v>12700</v>
      </c>
      <c r="P921" s="5"/>
      <c r="Q921" s="5"/>
      <c r="R921" s="5">
        <v>2</v>
      </c>
      <c r="S921" s="5">
        <v>800</v>
      </c>
      <c r="T921" s="5" t="s">
        <v>48</v>
      </c>
      <c r="U921" s="5">
        <v>392</v>
      </c>
      <c r="V921" s="5">
        <v>0.26</v>
      </c>
      <c r="W921" s="5" t="s">
        <v>10</v>
      </c>
      <c r="X921" s="5">
        <v>36</v>
      </c>
      <c r="Y921" s="5" t="s">
        <v>48</v>
      </c>
      <c r="Z921" s="5" t="s">
        <v>48</v>
      </c>
      <c r="AA921" s="5" t="s">
        <v>68</v>
      </c>
      <c r="AB921" s="5"/>
      <c r="AC921" s="5"/>
      <c r="AD921" s="5"/>
      <c r="AE921" s="5"/>
      <c r="AF921" s="5" t="s">
        <v>68</v>
      </c>
      <c r="AG921" s="5"/>
      <c r="AH921" s="5"/>
      <c r="AI921" s="5"/>
      <c r="AJ921" s="5"/>
      <c r="AK921" s="5"/>
      <c r="AL921" s="5"/>
      <c r="AM921" s="5"/>
      <c r="AN921" s="5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</row>
    <row r="922" spans="1:240" ht="30" customHeight="1">
      <c r="A922" s="5">
        <v>920</v>
      </c>
      <c r="B922" s="5" t="s">
        <v>68</v>
      </c>
      <c r="C922" s="5"/>
      <c r="D922" s="5"/>
      <c r="E922" s="5">
        <v>3543</v>
      </c>
      <c r="F922" s="5">
        <v>1252</v>
      </c>
      <c r="G922" s="5">
        <v>1340</v>
      </c>
      <c r="H922" s="5">
        <v>335</v>
      </c>
      <c r="I922" s="5" t="s">
        <v>17</v>
      </c>
      <c r="J922" s="24">
        <v>7.7008596673736092</v>
      </c>
      <c r="K922" s="30">
        <v>5</v>
      </c>
      <c r="L922" s="5">
        <v>41</v>
      </c>
      <c r="M922" s="31">
        <v>10</v>
      </c>
      <c r="N922" s="5">
        <v>3</v>
      </c>
      <c r="O922" s="5">
        <v>9050</v>
      </c>
      <c r="P922" s="5"/>
      <c r="Q922" s="5"/>
      <c r="R922" s="5">
        <v>2</v>
      </c>
      <c r="S922" s="5">
        <v>800</v>
      </c>
      <c r="T922" s="5" t="s">
        <v>48</v>
      </c>
      <c r="U922" s="5">
        <v>294</v>
      </c>
      <c r="V922" s="5">
        <v>0.1</v>
      </c>
      <c r="W922" s="5" t="s">
        <v>10</v>
      </c>
      <c r="X922" s="5">
        <v>32</v>
      </c>
      <c r="Y922" s="5" t="s">
        <v>48</v>
      </c>
      <c r="Z922" s="5" t="s">
        <v>48</v>
      </c>
      <c r="AA922" s="5" t="s">
        <v>68</v>
      </c>
      <c r="AB922" s="5"/>
      <c r="AC922" s="5"/>
      <c r="AD922" s="5"/>
      <c r="AE922" s="5"/>
      <c r="AF922" s="5" t="s">
        <v>68</v>
      </c>
      <c r="AG922" s="5"/>
      <c r="AH922" s="5"/>
      <c r="AI922" s="5"/>
      <c r="AJ922" s="5"/>
      <c r="AK922" s="5"/>
      <c r="AL922" s="5"/>
      <c r="AM922" s="5"/>
      <c r="AN922" s="5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/>
      <c r="FT922" s="8"/>
      <c r="FU922" s="8"/>
      <c r="FV922" s="8"/>
      <c r="FW922" s="8"/>
      <c r="FX922" s="8"/>
      <c r="FY922" s="8"/>
      <c r="FZ922" s="8"/>
      <c r="GA922" s="8"/>
      <c r="GB922" s="8"/>
      <c r="GC922" s="8"/>
      <c r="GD922" s="8"/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</row>
    <row r="923" spans="1:240" ht="30" customHeight="1">
      <c r="A923" s="5">
        <v>921</v>
      </c>
      <c r="B923" s="5" t="s">
        <v>68</v>
      </c>
      <c r="C923" s="5"/>
      <c r="D923" s="5"/>
      <c r="E923" s="5">
        <v>5208</v>
      </c>
      <c r="F923" s="5">
        <v>1252</v>
      </c>
      <c r="G923" s="5">
        <v>1340</v>
      </c>
      <c r="H923" s="5">
        <v>425</v>
      </c>
      <c r="I923" s="5" t="s">
        <v>17</v>
      </c>
      <c r="J923" s="24">
        <v>32.306045433860021</v>
      </c>
      <c r="K923" s="30">
        <v>5</v>
      </c>
      <c r="L923" s="5">
        <v>172</v>
      </c>
      <c r="M923" s="31">
        <v>10</v>
      </c>
      <c r="N923" s="5">
        <v>35</v>
      </c>
      <c r="O923" s="5">
        <v>58200</v>
      </c>
      <c r="P923" s="5"/>
      <c r="Q923" s="5"/>
      <c r="R923" s="5">
        <v>3</v>
      </c>
      <c r="S923" s="5">
        <v>800</v>
      </c>
      <c r="T923" s="5" t="s">
        <v>48</v>
      </c>
      <c r="U923" s="5">
        <v>980</v>
      </c>
      <c r="V923" s="5">
        <v>5.25</v>
      </c>
      <c r="W923" s="5" t="s">
        <v>10</v>
      </c>
      <c r="X923" s="5">
        <v>57</v>
      </c>
      <c r="Y923" s="5" t="s">
        <v>48</v>
      </c>
      <c r="Z923" s="5" t="s">
        <v>48</v>
      </c>
      <c r="AA923" s="5" t="s">
        <v>68</v>
      </c>
      <c r="AB923" s="5"/>
      <c r="AC923" s="5"/>
      <c r="AD923" s="5"/>
      <c r="AE923" s="5"/>
      <c r="AF923" s="5" t="s">
        <v>68</v>
      </c>
      <c r="AG923" s="5"/>
      <c r="AH923" s="5"/>
      <c r="AI923" s="5"/>
      <c r="AJ923" s="5"/>
      <c r="AK923" s="5"/>
      <c r="AL923" s="5"/>
      <c r="AM923" s="5"/>
      <c r="AN923" s="5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</row>
    <row r="924" spans="1:240" ht="30" customHeight="1">
      <c r="A924" s="5">
        <v>922</v>
      </c>
      <c r="B924" s="5" t="s">
        <v>68</v>
      </c>
      <c r="C924" s="5"/>
      <c r="D924" s="5"/>
      <c r="E924" s="5">
        <v>5208</v>
      </c>
      <c r="F924" s="5">
        <v>1252</v>
      </c>
      <c r="G924" s="5">
        <v>1340</v>
      </c>
      <c r="H924" s="5">
        <v>425</v>
      </c>
      <c r="I924" s="5" t="s">
        <v>17</v>
      </c>
      <c r="J924" s="24">
        <v>30.239961132857342</v>
      </c>
      <c r="K924" s="30">
        <v>5</v>
      </c>
      <c r="L924" s="5">
        <v>161</v>
      </c>
      <c r="M924" s="31">
        <v>10</v>
      </c>
      <c r="N924" s="5">
        <v>30</v>
      </c>
      <c r="O924" s="5">
        <v>51750</v>
      </c>
      <c r="P924" s="5"/>
      <c r="Q924" s="5"/>
      <c r="R924" s="5">
        <v>3</v>
      </c>
      <c r="S924" s="5">
        <v>800</v>
      </c>
      <c r="T924" s="5" t="s">
        <v>48</v>
      </c>
      <c r="U924" s="5">
        <v>882</v>
      </c>
      <c r="V924" s="5">
        <v>3.9</v>
      </c>
      <c r="W924" s="5" t="s">
        <v>10</v>
      </c>
      <c r="X924" s="5">
        <v>55</v>
      </c>
      <c r="Y924" s="5" t="s">
        <v>48</v>
      </c>
      <c r="Z924" s="5" t="s">
        <v>48</v>
      </c>
      <c r="AA924" s="5" t="s">
        <v>68</v>
      </c>
      <c r="AB924" s="5"/>
      <c r="AC924" s="5"/>
      <c r="AD924" s="5"/>
      <c r="AE924" s="5"/>
      <c r="AF924" s="5" t="s">
        <v>68</v>
      </c>
      <c r="AG924" s="5"/>
      <c r="AH924" s="5"/>
      <c r="AI924" s="5"/>
      <c r="AJ924" s="5"/>
      <c r="AK924" s="5"/>
      <c r="AL924" s="5"/>
      <c r="AM924" s="5"/>
      <c r="AN924" s="5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</row>
    <row r="925" spans="1:240" ht="30" customHeight="1">
      <c r="A925" s="5">
        <v>923</v>
      </c>
      <c r="B925" s="5" t="s">
        <v>68</v>
      </c>
      <c r="C925" s="5"/>
      <c r="D925" s="5"/>
      <c r="E925" s="5">
        <v>5208</v>
      </c>
      <c r="F925" s="5">
        <v>1252</v>
      </c>
      <c r="G925" s="5">
        <v>1340</v>
      </c>
      <c r="H925" s="5">
        <v>425</v>
      </c>
      <c r="I925" s="5" t="s">
        <v>17</v>
      </c>
      <c r="J925" s="24">
        <v>28.173876831854667</v>
      </c>
      <c r="K925" s="30">
        <v>5</v>
      </c>
      <c r="L925" s="5">
        <v>150</v>
      </c>
      <c r="M925" s="31">
        <v>10</v>
      </c>
      <c r="N925" s="5">
        <v>26</v>
      </c>
      <c r="O925" s="5">
        <v>45550</v>
      </c>
      <c r="P925" s="5"/>
      <c r="Q925" s="5"/>
      <c r="R925" s="5">
        <v>3</v>
      </c>
      <c r="S925" s="5">
        <v>800</v>
      </c>
      <c r="T925" s="5" t="s">
        <v>48</v>
      </c>
      <c r="U925" s="5">
        <v>784</v>
      </c>
      <c r="V925" s="5">
        <v>2.7</v>
      </c>
      <c r="W925" s="5" t="s">
        <v>10</v>
      </c>
      <c r="X925" s="5">
        <v>52</v>
      </c>
      <c r="Y925" s="5" t="s">
        <v>48</v>
      </c>
      <c r="Z925" s="5" t="s">
        <v>48</v>
      </c>
      <c r="AA925" s="5" t="s">
        <v>68</v>
      </c>
      <c r="AB925" s="5"/>
      <c r="AC925" s="5"/>
      <c r="AD925" s="5"/>
      <c r="AE925" s="5"/>
      <c r="AF925" s="5" t="s">
        <v>68</v>
      </c>
      <c r="AG925" s="5"/>
      <c r="AH925" s="5"/>
      <c r="AI925" s="5"/>
      <c r="AJ925" s="5"/>
      <c r="AK925" s="5"/>
      <c r="AL925" s="5"/>
      <c r="AM925" s="5"/>
      <c r="AN925" s="5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</row>
    <row r="926" spans="1:240" ht="30" customHeight="1">
      <c r="A926" s="5">
        <v>924</v>
      </c>
      <c r="B926" s="5" t="s">
        <v>68</v>
      </c>
      <c r="C926" s="5"/>
      <c r="D926" s="5"/>
      <c r="E926" s="5">
        <v>5208</v>
      </c>
      <c r="F926" s="5">
        <v>1252</v>
      </c>
      <c r="G926" s="5">
        <v>1340</v>
      </c>
      <c r="H926" s="5">
        <v>425</v>
      </c>
      <c r="I926" s="5" t="s">
        <v>17</v>
      </c>
      <c r="J926" s="24">
        <v>25.168663303123505</v>
      </c>
      <c r="K926" s="30">
        <v>5</v>
      </c>
      <c r="L926" s="5">
        <v>134</v>
      </c>
      <c r="M926" s="31">
        <v>10</v>
      </c>
      <c r="N926" s="5">
        <v>22</v>
      </c>
      <c r="O926" s="5">
        <v>39150</v>
      </c>
      <c r="P926" s="5"/>
      <c r="Q926" s="5"/>
      <c r="R926" s="5">
        <v>3</v>
      </c>
      <c r="S926" s="5">
        <v>800</v>
      </c>
      <c r="T926" s="5" t="s">
        <v>48</v>
      </c>
      <c r="U926" s="5">
        <v>686</v>
      </c>
      <c r="V926" s="5">
        <v>1.8</v>
      </c>
      <c r="W926" s="5" t="s">
        <v>10</v>
      </c>
      <c r="X926" s="5">
        <v>49</v>
      </c>
      <c r="Y926" s="5" t="s">
        <v>48</v>
      </c>
      <c r="Z926" s="5" t="s">
        <v>48</v>
      </c>
      <c r="AA926" s="5" t="s">
        <v>68</v>
      </c>
      <c r="AB926" s="5"/>
      <c r="AC926" s="5"/>
      <c r="AD926" s="5"/>
      <c r="AE926" s="5"/>
      <c r="AF926" s="5" t="s">
        <v>68</v>
      </c>
      <c r="AG926" s="5"/>
      <c r="AH926" s="5"/>
      <c r="AI926" s="5"/>
      <c r="AJ926" s="5"/>
      <c r="AK926" s="5"/>
      <c r="AL926" s="5"/>
      <c r="AM926" s="5"/>
      <c r="AN926" s="5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</row>
    <row r="927" spans="1:240" ht="30" customHeight="1">
      <c r="A927" s="5">
        <v>925</v>
      </c>
      <c r="B927" s="5" t="s">
        <v>68</v>
      </c>
      <c r="C927" s="5"/>
      <c r="D927" s="5"/>
      <c r="E927" s="5">
        <v>5208</v>
      </c>
      <c r="F927" s="5">
        <v>1252</v>
      </c>
      <c r="G927" s="5">
        <v>1340</v>
      </c>
      <c r="H927" s="5">
        <v>425</v>
      </c>
      <c r="I927" s="5" t="s">
        <v>17</v>
      </c>
      <c r="J927" s="24">
        <v>22.914753156575131</v>
      </c>
      <c r="K927" s="30">
        <v>5</v>
      </c>
      <c r="L927" s="5">
        <v>122</v>
      </c>
      <c r="M927" s="31">
        <v>10</v>
      </c>
      <c r="N927" s="5">
        <v>18</v>
      </c>
      <c r="O927" s="5">
        <v>32950</v>
      </c>
      <c r="P927" s="5"/>
      <c r="Q927" s="5"/>
      <c r="R927" s="5">
        <v>3</v>
      </c>
      <c r="S927" s="5">
        <v>800</v>
      </c>
      <c r="T927" s="5" t="s">
        <v>48</v>
      </c>
      <c r="U927" s="5">
        <v>588</v>
      </c>
      <c r="V927" s="5">
        <v>1.1100000000000001</v>
      </c>
      <c r="W927" s="5" t="s">
        <v>10</v>
      </c>
      <c r="X927" s="5">
        <v>46</v>
      </c>
      <c r="Y927" s="5" t="s">
        <v>48</v>
      </c>
      <c r="Z927" s="5" t="s">
        <v>48</v>
      </c>
      <c r="AA927" s="5" t="s">
        <v>68</v>
      </c>
      <c r="AB927" s="5"/>
      <c r="AC927" s="5"/>
      <c r="AD927" s="5"/>
      <c r="AE927" s="5"/>
      <c r="AF927" s="5" t="s">
        <v>68</v>
      </c>
      <c r="AG927" s="5"/>
      <c r="AH927" s="5"/>
      <c r="AI927" s="5"/>
      <c r="AJ927" s="5"/>
      <c r="AK927" s="5"/>
      <c r="AL927" s="5"/>
      <c r="AM927" s="5"/>
      <c r="AN927" s="5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</row>
    <row r="928" spans="1:240" ht="30" customHeight="1">
      <c r="A928" s="5">
        <v>926</v>
      </c>
      <c r="B928" s="5" t="s">
        <v>68</v>
      </c>
      <c r="C928" s="5"/>
      <c r="D928" s="5"/>
      <c r="E928" s="5">
        <v>5208</v>
      </c>
      <c r="F928" s="5">
        <v>1252</v>
      </c>
      <c r="G928" s="5">
        <v>1340</v>
      </c>
      <c r="H928" s="5">
        <v>425</v>
      </c>
      <c r="I928" s="5" t="s">
        <v>17</v>
      </c>
      <c r="J928" s="24">
        <v>19.721713782298266</v>
      </c>
      <c r="K928" s="30">
        <v>5</v>
      </c>
      <c r="L928" s="5">
        <v>105</v>
      </c>
      <c r="M928" s="31">
        <v>10</v>
      </c>
      <c r="N928" s="5">
        <v>14</v>
      </c>
      <c r="O928" s="5">
        <v>27000</v>
      </c>
      <c r="P928" s="5"/>
      <c r="Q928" s="5"/>
      <c r="R928" s="5">
        <v>3</v>
      </c>
      <c r="S928" s="5">
        <v>800</v>
      </c>
      <c r="T928" s="5" t="s">
        <v>48</v>
      </c>
      <c r="U928" s="5">
        <v>490</v>
      </c>
      <c r="V928" s="5">
        <v>0.66</v>
      </c>
      <c r="W928" s="5" t="s">
        <v>10</v>
      </c>
      <c r="X928" s="5">
        <v>42</v>
      </c>
      <c r="Y928" s="5" t="s">
        <v>48</v>
      </c>
      <c r="Z928" s="5" t="s">
        <v>48</v>
      </c>
      <c r="AA928" s="5" t="s">
        <v>68</v>
      </c>
      <c r="AB928" s="5"/>
      <c r="AC928" s="5"/>
      <c r="AD928" s="5"/>
      <c r="AE928" s="5"/>
      <c r="AF928" s="5" t="s">
        <v>68</v>
      </c>
      <c r="AG928" s="5"/>
      <c r="AH928" s="5"/>
      <c r="AI928" s="5"/>
      <c r="AJ928" s="5"/>
      <c r="AK928" s="5"/>
      <c r="AL928" s="5"/>
      <c r="AM928" s="5"/>
      <c r="AN928" s="5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</row>
    <row r="929" spans="1:240" ht="30" customHeight="1">
      <c r="A929" s="5">
        <v>927</v>
      </c>
      <c r="B929" s="5" t="s">
        <v>68</v>
      </c>
      <c r="C929" s="5"/>
      <c r="D929" s="5"/>
      <c r="E929" s="5">
        <v>5208</v>
      </c>
      <c r="F929" s="5">
        <v>1252</v>
      </c>
      <c r="G929" s="5">
        <v>1340</v>
      </c>
      <c r="H929" s="5">
        <v>425</v>
      </c>
      <c r="I929" s="5" t="s">
        <v>17</v>
      </c>
      <c r="J929" s="24">
        <v>16.340848562475706</v>
      </c>
      <c r="K929" s="30">
        <v>5</v>
      </c>
      <c r="L929" s="5">
        <v>87</v>
      </c>
      <c r="M929" s="31">
        <v>10</v>
      </c>
      <c r="N929" s="5">
        <v>9</v>
      </c>
      <c r="O929" s="5">
        <v>21150</v>
      </c>
      <c r="P929" s="5"/>
      <c r="Q929" s="5"/>
      <c r="R929" s="5">
        <v>3</v>
      </c>
      <c r="S929" s="5">
        <v>800</v>
      </c>
      <c r="T929" s="5" t="s">
        <v>48</v>
      </c>
      <c r="U929" s="5">
        <v>392</v>
      </c>
      <c r="V929" s="5">
        <v>0.39</v>
      </c>
      <c r="W929" s="5" t="s">
        <v>10</v>
      </c>
      <c r="X929" s="5">
        <v>38</v>
      </c>
      <c r="Y929" s="5" t="s">
        <v>48</v>
      </c>
      <c r="Z929" s="5" t="s">
        <v>48</v>
      </c>
      <c r="AA929" s="5" t="s">
        <v>68</v>
      </c>
      <c r="AB929" s="5"/>
      <c r="AC929" s="5"/>
      <c r="AD929" s="5"/>
      <c r="AE929" s="5"/>
      <c r="AF929" s="5" t="s">
        <v>68</v>
      </c>
      <c r="AG929" s="5"/>
      <c r="AH929" s="5"/>
      <c r="AI929" s="5"/>
      <c r="AJ929" s="5"/>
      <c r="AK929" s="5"/>
      <c r="AL929" s="5"/>
      <c r="AM929" s="5"/>
      <c r="AN929" s="5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</row>
    <row r="930" spans="1:240" ht="30" customHeight="1">
      <c r="A930" s="5">
        <v>928</v>
      </c>
      <c r="B930" s="5" t="s">
        <v>68</v>
      </c>
      <c r="C930" s="5"/>
      <c r="D930" s="5"/>
      <c r="E930" s="5">
        <v>5208</v>
      </c>
      <c r="F930" s="5">
        <v>1252</v>
      </c>
      <c r="G930" s="5">
        <v>1340</v>
      </c>
      <c r="H930" s="5">
        <v>425</v>
      </c>
      <c r="I930" s="5" t="s">
        <v>17</v>
      </c>
      <c r="J930" s="24">
        <v>12.396505806016053</v>
      </c>
      <c r="K930" s="30">
        <v>5</v>
      </c>
      <c r="L930" s="5">
        <v>66</v>
      </c>
      <c r="M930" s="31">
        <v>10</v>
      </c>
      <c r="N930" s="5">
        <v>5</v>
      </c>
      <c r="O930" s="5">
        <v>15050</v>
      </c>
      <c r="P930" s="5"/>
      <c r="Q930" s="5"/>
      <c r="R930" s="5">
        <v>3</v>
      </c>
      <c r="S930" s="5">
        <v>800</v>
      </c>
      <c r="T930" s="5" t="s">
        <v>48</v>
      </c>
      <c r="U930" s="5">
        <v>294</v>
      </c>
      <c r="V930" s="5">
        <v>0.15</v>
      </c>
      <c r="W930" s="5" t="s">
        <v>10</v>
      </c>
      <c r="X930" s="5">
        <v>34</v>
      </c>
      <c r="Y930" s="5" t="s">
        <v>48</v>
      </c>
      <c r="Z930" s="5" t="s">
        <v>48</v>
      </c>
      <c r="AA930" s="5" t="s">
        <v>68</v>
      </c>
      <c r="AB930" s="5"/>
      <c r="AC930" s="5"/>
      <c r="AD930" s="5"/>
      <c r="AE930" s="5"/>
      <c r="AF930" s="5" t="s">
        <v>68</v>
      </c>
      <c r="AG930" s="5"/>
      <c r="AH930" s="5"/>
      <c r="AI930" s="5"/>
      <c r="AJ930" s="5"/>
      <c r="AK930" s="5"/>
      <c r="AL930" s="5"/>
      <c r="AM930" s="5"/>
      <c r="AN930" s="5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/>
      <c r="GB930" s="8"/>
      <c r="GC930" s="8"/>
      <c r="GD930" s="8"/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</row>
    <row r="931" spans="1:240" ht="30" customHeight="1">
      <c r="A931" s="5">
        <v>929</v>
      </c>
      <c r="B931" s="5" t="s">
        <v>68</v>
      </c>
      <c r="C931" s="5"/>
      <c r="D931" s="5"/>
      <c r="E931" s="5">
        <v>5208</v>
      </c>
      <c r="F931" s="5">
        <v>1252</v>
      </c>
      <c r="G931" s="5">
        <v>1340</v>
      </c>
      <c r="H931" s="5">
        <v>465</v>
      </c>
      <c r="I931" s="5" t="s">
        <v>17</v>
      </c>
      <c r="J931" s="24">
        <v>36.438214035865371</v>
      </c>
      <c r="K931" s="30">
        <v>5</v>
      </c>
      <c r="L931" s="5">
        <v>194</v>
      </c>
      <c r="M931" s="31">
        <v>10</v>
      </c>
      <c r="N931" s="5">
        <v>26</v>
      </c>
      <c r="O931" s="5">
        <v>53900</v>
      </c>
      <c r="P931" s="5"/>
      <c r="Q931" s="5"/>
      <c r="R931" s="5">
        <v>3</v>
      </c>
      <c r="S931" s="5">
        <v>800</v>
      </c>
      <c r="T931" s="5" t="s">
        <v>48</v>
      </c>
      <c r="U931" s="5">
        <v>980</v>
      </c>
      <c r="V931" s="5">
        <v>5.25</v>
      </c>
      <c r="W931" s="5" t="s">
        <v>10</v>
      </c>
      <c r="X931" s="5">
        <v>57</v>
      </c>
      <c r="Y931" s="5" t="s">
        <v>48</v>
      </c>
      <c r="Z931" s="5" t="s">
        <v>48</v>
      </c>
      <c r="AA931" s="5" t="s">
        <v>68</v>
      </c>
      <c r="AB931" s="5"/>
      <c r="AC931" s="5"/>
      <c r="AD931" s="5"/>
      <c r="AE931" s="5"/>
      <c r="AF931" s="5" t="s">
        <v>68</v>
      </c>
      <c r="AG931" s="5"/>
      <c r="AH931" s="5"/>
      <c r="AI931" s="5"/>
      <c r="AJ931" s="5"/>
      <c r="AK931" s="5"/>
      <c r="AL931" s="5"/>
      <c r="AM931" s="5"/>
      <c r="AN931" s="5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</row>
    <row r="932" spans="1:240" ht="30" customHeight="1">
      <c r="A932" s="5">
        <v>930</v>
      </c>
      <c r="B932" s="5" t="s">
        <v>68</v>
      </c>
      <c r="C932" s="5"/>
      <c r="D932" s="5"/>
      <c r="E932" s="5">
        <v>5208</v>
      </c>
      <c r="F932" s="5">
        <v>1252</v>
      </c>
      <c r="G932" s="5">
        <v>1340</v>
      </c>
      <c r="H932" s="5">
        <v>465</v>
      </c>
      <c r="I932" s="5" t="s">
        <v>17</v>
      </c>
      <c r="J932" s="24">
        <v>33.620826352679906</v>
      </c>
      <c r="K932" s="30">
        <v>5</v>
      </c>
      <c r="L932" s="5">
        <v>179</v>
      </c>
      <c r="M932" s="31">
        <v>10</v>
      </c>
      <c r="N932" s="5">
        <v>22</v>
      </c>
      <c r="O932" s="5">
        <v>47900</v>
      </c>
      <c r="P932" s="5"/>
      <c r="Q932" s="5"/>
      <c r="R932" s="5">
        <v>3</v>
      </c>
      <c r="S932" s="5">
        <v>800</v>
      </c>
      <c r="T932" s="5" t="s">
        <v>48</v>
      </c>
      <c r="U932" s="5">
        <v>882</v>
      </c>
      <c r="V932" s="5">
        <v>3.9</v>
      </c>
      <c r="W932" s="5" t="s">
        <v>10</v>
      </c>
      <c r="X932" s="5">
        <v>55</v>
      </c>
      <c r="Y932" s="5" t="s">
        <v>48</v>
      </c>
      <c r="Z932" s="5" t="s">
        <v>48</v>
      </c>
      <c r="AA932" s="5" t="s">
        <v>68</v>
      </c>
      <c r="AB932" s="5"/>
      <c r="AC932" s="5"/>
      <c r="AD932" s="5"/>
      <c r="AE932" s="5"/>
      <c r="AF932" s="5" t="s">
        <v>68</v>
      </c>
      <c r="AG932" s="5"/>
      <c r="AH932" s="5"/>
      <c r="AI932" s="5"/>
      <c r="AJ932" s="5"/>
      <c r="AK932" s="5"/>
      <c r="AL932" s="5"/>
      <c r="AM932" s="5"/>
      <c r="AN932" s="5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</row>
    <row r="933" spans="1:240" ht="30" customHeight="1">
      <c r="A933" s="5">
        <v>931</v>
      </c>
      <c r="B933" s="5" t="s">
        <v>68</v>
      </c>
      <c r="C933" s="5"/>
      <c r="D933" s="5"/>
      <c r="E933" s="5">
        <v>5208</v>
      </c>
      <c r="F933" s="5">
        <v>1252</v>
      </c>
      <c r="G933" s="5">
        <v>1340</v>
      </c>
      <c r="H933" s="5">
        <v>465</v>
      </c>
      <c r="I933" s="5" t="s">
        <v>17</v>
      </c>
      <c r="J933" s="24">
        <v>30.427786978403041</v>
      </c>
      <c r="K933" s="30">
        <v>5</v>
      </c>
      <c r="L933" s="5">
        <v>162</v>
      </c>
      <c r="M933" s="31">
        <v>10</v>
      </c>
      <c r="N933" s="5">
        <v>19</v>
      </c>
      <c r="O933" s="5">
        <v>42000</v>
      </c>
      <c r="P933" s="5"/>
      <c r="Q933" s="5"/>
      <c r="R933" s="5">
        <v>3</v>
      </c>
      <c r="S933" s="5">
        <v>800</v>
      </c>
      <c r="T933" s="5" t="s">
        <v>48</v>
      </c>
      <c r="U933" s="5">
        <v>784</v>
      </c>
      <c r="V933" s="5">
        <v>2.7</v>
      </c>
      <c r="W933" s="5" t="s">
        <v>10</v>
      </c>
      <c r="X933" s="5">
        <v>52</v>
      </c>
      <c r="Y933" s="5" t="s">
        <v>48</v>
      </c>
      <c r="Z933" s="5" t="s">
        <v>48</v>
      </c>
      <c r="AA933" s="5" t="s">
        <v>68</v>
      </c>
      <c r="AB933" s="5"/>
      <c r="AC933" s="5"/>
      <c r="AD933" s="5"/>
      <c r="AE933" s="5"/>
      <c r="AF933" s="5" t="s">
        <v>68</v>
      </c>
      <c r="AG933" s="5"/>
      <c r="AH933" s="5"/>
      <c r="AI933" s="5"/>
      <c r="AJ933" s="5"/>
      <c r="AK933" s="5"/>
      <c r="AL933" s="5"/>
      <c r="AM933" s="5"/>
      <c r="AN933" s="5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</row>
    <row r="934" spans="1:240" ht="30" customHeight="1">
      <c r="A934" s="5">
        <v>932</v>
      </c>
      <c r="B934" s="5" t="s">
        <v>68</v>
      </c>
      <c r="C934" s="5"/>
      <c r="D934" s="5"/>
      <c r="E934" s="5">
        <v>5208</v>
      </c>
      <c r="F934" s="5">
        <v>1252</v>
      </c>
      <c r="G934" s="5">
        <v>1340</v>
      </c>
      <c r="H934" s="5">
        <v>465</v>
      </c>
      <c r="I934" s="5" t="s">
        <v>17</v>
      </c>
      <c r="J934" s="24">
        <v>27.046921758580481</v>
      </c>
      <c r="K934" s="30">
        <v>5</v>
      </c>
      <c r="L934" s="5">
        <v>144</v>
      </c>
      <c r="M934" s="31">
        <v>10</v>
      </c>
      <c r="N934" s="5">
        <v>16</v>
      </c>
      <c r="O934" s="5">
        <v>36050</v>
      </c>
      <c r="P934" s="5"/>
      <c r="Q934" s="5"/>
      <c r="R934" s="5">
        <v>3</v>
      </c>
      <c r="S934" s="5">
        <v>800</v>
      </c>
      <c r="T934" s="5" t="s">
        <v>48</v>
      </c>
      <c r="U934" s="5">
        <v>686</v>
      </c>
      <c r="V934" s="5">
        <v>1.8</v>
      </c>
      <c r="W934" s="5" t="s">
        <v>10</v>
      </c>
      <c r="X934" s="5">
        <v>49</v>
      </c>
      <c r="Y934" s="5" t="s">
        <v>48</v>
      </c>
      <c r="Z934" s="5" t="s">
        <v>48</v>
      </c>
      <c r="AA934" s="5" t="s">
        <v>68</v>
      </c>
      <c r="AB934" s="5"/>
      <c r="AC934" s="5"/>
      <c r="AD934" s="5"/>
      <c r="AE934" s="5"/>
      <c r="AF934" s="5" t="s">
        <v>68</v>
      </c>
      <c r="AG934" s="5"/>
      <c r="AH934" s="5"/>
      <c r="AI934" s="5"/>
      <c r="AJ934" s="5"/>
      <c r="AK934" s="5"/>
      <c r="AL934" s="5"/>
      <c r="AM934" s="5"/>
      <c r="AN934" s="5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</row>
    <row r="935" spans="1:240" ht="30" customHeight="1">
      <c r="A935" s="5">
        <v>933</v>
      </c>
      <c r="B935" s="5" t="s">
        <v>68</v>
      </c>
      <c r="C935" s="5"/>
      <c r="D935" s="5"/>
      <c r="E935" s="5">
        <v>5208</v>
      </c>
      <c r="F935" s="5">
        <v>1252</v>
      </c>
      <c r="G935" s="5">
        <v>1340</v>
      </c>
      <c r="H935" s="5">
        <v>465</v>
      </c>
      <c r="I935" s="5" t="s">
        <v>17</v>
      </c>
      <c r="J935" s="24">
        <v>23.666056538757921</v>
      </c>
      <c r="K935" s="30">
        <v>5</v>
      </c>
      <c r="L935" s="5">
        <v>126</v>
      </c>
      <c r="M935" s="31">
        <v>10</v>
      </c>
      <c r="N935" s="5">
        <v>13</v>
      </c>
      <c r="O935" s="5">
        <v>30300</v>
      </c>
      <c r="P935" s="5"/>
      <c r="Q935" s="5"/>
      <c r="R935" s="5">
        <v>3</v>
      </c>
      <c r="S935" s="5">
        <v>800</v>
      </c>
      <c r="T935" s="5" t="s">
        <v>48</v>
      </c>
      <c r="U935" s="5">
        <v>588</v>
      </c>
      <c r="V935" s="5">
        <v>1.1100000000000001</v>
      </c>
      <c r="W935" s="5" t="s">
        <v>10</v>
      </c>
      <c r="X935" s="5">
        <v>46</v>
      </c>
      <c r="Y935" s="5" t="s">
        <v>48</v>
      </c>
      <c r="Z935" s="5" t="s">
        <v>48</v>
      </c>
      <c r="AA935" s="5" t="s">
        <v>68</v>
      </c>
      <c r="AB935" s="5"/>
      <c r="AC935" s="5"/>
      <c r="AD935" s="5"/>
      <c r="AE935" s="5"/>
      <c r="AF935" s="5" t="s">
        <v>68</v>
      </c>
      <c r="AG935" s="5"/>
      <c r="AH935" s="5"/>
      <c r="AI935" s="5"/>
      <c r="AJ935" s="5"/>
      <c r="AK935" s="5"/>
      <c r="AL935" s="5"/>
      <c r="AM935" s="5"/>
      <c r="AN935" s="5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</row>
    <row r="936" spans="1:240" ht="30" customHeight="1">
      <c r="A936" s="5">
        <v>934</v>
      </c>
      <c r="B936" s="5" t="s">
        <v>68</v>
      </c>
      <c r="C936" s="5"/>
      <c r="D936" s="5"/>
      <c r="E936" s="5">
        <v>5208</v>
      </c>
      <c r="F936" s="5">
        <v>1252</v>
      </c>
      <c r="G936" s="5">
        <v>1340</v>
      </c>
      <c r="H936" s="5">
        <v>465</v>
      </c>
      <c r="I936" s="5" t="s">
        <v>17</v>
      </c>
      <c r="J936" s="24">
        <v>20.097365473389665</v>
      </c>
      <c r="K936" s="30">
        <v>5</v>
      </c>
      <c r="L936" s="5">
        <v>107</v>
      </c>
      <c r="M936" s="31">
        <v>10</v>
      </c>
      <c r="N936" s="5">
        <v>10</v>
      </c>
      <c r="O936" s="5">
        <v>24600</v>
      </c>
      <c r="P936" s="5"/>
      <c r="Q936" s="5"/>
      <c r="R936" s="5">
        <v>3</v>
      </c>
      <c r="S936" s="5">
        <v>800</v>
      </c>
      <c r="T936" s="5" t="s">
        <v>48</v>
      </c>
      <c r="U936" s="5">
        <v>490</v>
      </c>
      <c r="V936" s="5">
        <v>0.66</v>
      </c>
      <c r="W936" s="5" t="s">
        <v>10</v>
      </c>
      <c r="X936" s="5">
        <v>42</v>
      </c>
      <c r="Y936" s="5" t="s">
        <v>48</v>
      </c>
      <c r="Z936" s="5" t="s">
        <v>48</v>
      </c>
      <c r="AA936" s="5" t="s">
        <v>68</v>
      </c>
      <c r="AB936" s="5"/>
      <c r="AC936" s="5"/>
      <c r="AD936" s="5"/>
      <c r="AE936" s="5"/>
      <c r="AF936" s="5" t="s">
        <v>68</v>
      </c>
      <c r="AG936" s="5"/>
      <c r="AH936" s="5"/>
      <c r="AI936" s="5"/>
      <c r="AJ936" s="5"/>
      <c r="AK936" s="5"/>
      <c r="AL936" s="5"/>
      <c r="AM936" s="5"/>
      <c r="AN936" s="5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/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</row>
    <row r="937" spans="1:240" ht="30" customHeight="1">
      <c r="A937" s="5">
        <v>935</v>
      </c>
      <c r="B937" s="5" t="s">
        <v>68</v>
      </c>
      <c r="C937" s="5"/>
      <c r="D937" s="5"/>
      <c r="E937" s="5">
        <v>5208</v>
      </c>
      <c r="F937" s="5">
        <v>1252</v>
      </c>
      <c r="G937" s="5">
        <v>1340</v>
      </c>
      <c r="H937" s="5">
        <v>465</v>
      </c>
      <c r="I937" s="5" t="s">
        <v>17</v>
      </c>
      <c r="J937" s="24">
        <v>16.15302271693001</v>
      </c>
      <c r="K937" s="30">
        <v>5</v>
      </c>
      <c r="L937" s="5">
        <v>86</v>
      </c>
      <c r="M937" s="31">
        <v>10</v>
      </c>
      <c r="N937" s="5">
        <v>7</v>
      </c>
      <c r="O937" s="5">
        <v>19150</v>
      </c>
      <c r="P937" s="5"/>
      <c r="Q937" s="5"/>
      <c r="R937" s="5">
        <v>3</v>
      </c>
      <c r="S937" s="5">
        <v>800</v>
      </c>
      <c r="T937" s="5" t="s">
        <v>48</v>
      </c>
      <c r="U937" s="5">
        <v>392</v>
      </c>
      <c r="V937" s="5">
        <v>0.39</v>
      </c>
      <c r="W937" s="5" t="s">
        <v>10</v>
      </c>
      <c r="X937" s="5">
        <v>38</v>
      </c>
      <c r="Y937" s="5" t="s">
        <v>48</v>
      </c>
      <c r="Z937" s="5" t="s">
        <v>48</v>
      </c>
      <c r="AA937" s="5" t="s">
        <v>68</v>
      </c>
      <c r="AB937" s="5"/>
      <c r="AC937" s="5"/>
      <c r="AD937" s="5"/>
      <c r="AE937" s="5"/>
      <c r="AF937" s="5" t="s">
        <v>68</v>
      </c>
      <c r="AG937" s="5"/>
      <c r="AH937" s="5"/>
      <c r="AI937" s="5"/>
      <c r="AJ937" s="5"/>
      <c r="AK937" s="5"/>
      <c r="AL937" s="5"/>
      <c r="AM937" s="5"/>
      <c r="AN937" s="5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</row>
    <row r="938" spans="1:240" ht="30" customHeight="1">
      <c r="A938" s="5">
        <v>936</v>
      </c>
      <c r="B938" s="5" t="s">
        <v>68</v>
      </c>
      <c r="C938" s="5"/>
      <c r="D938" s="5"/>
      <c r="E938" s="5">
        <v>5208</v>
      </c>
      <c r="F938" s="5">
        <v>1252</v>
      </c>
      <c r="G938" s="5">
        <v>1340</v>
      </c>
      <c r="H938" s="5">
        <v>465</v>
      </c>
      <c r="I938" s="5" t="s">
        <v>17</v>
      </c>
      <c r="J938" s="24">
        <v>12.02085411492466</v>
      </c>
      <c r="K938" s="30">
        <v>5</v>
      </c>
      <c r="L938" s="5">
        <v>64</v>
      </c>
      <c r="M938" s="31">
        <v>10</v>
      </c>
      <c r="N938" s="5">
        <v>4</v>
      </c>
      <c r="O938" s="5">
        <v>13700</v>
      </c>
      <c r="P938" s="5"/>
      <c r="Q938" s="5"/>
      <c r="R938" s="5">
        <v>3</v>
      </c>
      <c r="S938" s="5">
        <v>800</v>
      </c>
      <c r="T938" s="5" t="s">
        <v>48</v>
      </c>
      <c r="U938" s="5">
        <v>294</v>
      </c>
      <c r="V938" s="5">
        <v>0.15</v>
      </c>
      <c r="W938" s="5" t="s">
        <v>10</v>
      </c>
      <c r="X938" s="5">
        <v>34</v>
      </c>
      <c r="Y938" s="5" t="s">
        <v>48</v>
      </c>
      <c r="Z938" s="5" t="s">
        <v>48</v>
      </c>
      <c r="AA938" s="5" t="s">
        <v>68</v>
      </c>
      <c r="AB938" s="5"/>
      <c r="AC938" s="5"/>
      <c r="AD938" s="5"/>
      <c r="AE938" s="5"/>
      <c r="AF938" s="5" t="s">
        <v>68</v>
      </c>
      <c r="AG938" s="5"/>
      <c r="AH938" s="5"/>
      <c r="AI938" s="5"/>
      <c r="AJ938" s="5"/>
      <c r="AK938" s="5"/>
      <c r="AL938" s="5"/>
      <c r="AM938" s="5"/>
      <c r="AN938" s="5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</row>
    <row r="939" spans="1:240" ht="30" customHeight="1">
      <c r="A939" s="5">
        <v>937</v>
      </c>
      <c r="B939" s="5" t="s">
        <v>68</v>
      </c>
      <c r="C939" s="5"/>
      <c r="D939" s="5"/>
      <c r="E939" s="5">
        <v>3543</v>
      </c>
      <c r="F939" s="5">
        <v>1252</v>
      </c>
      <c r="G939" s="5">
        <v>1340</v>
      </c>
      <c r="H939" s="5">
        <v>595</v>
      </c>
      <c r="I939" s="5" t="s">
        <v>17</v>
      </c>
      <c r="J939" s="24">
        <v>42.824292784419093</v>
      </c>
      <c r="K939" s="30">
        <v>5</v>
      </c>
      <c r="L939" s="5">
        <v>228</v>
      </c>
      <c r="M939" s="31">
        <v>10</v>
      </c>
      <c r="N939" s="5">
        <v>36</v>
      </c>
      <c r="O939" s="5">
        <v>77300</v>
      </c>
      <c r="P939" s="5"/>
      <c r="Q939" s="5"/>
      <c r="R939" s="5">
        <v>4</v>
      </c>
      <c r="S939" s="5">
        <v>800</v>
      </c>
      <c r="T939" s="5" t="s">
        <v>48</v>
      </c>
      <c r="U939" s="5">
        <v>980</v>
      </c>
      <c r="V939" s="5">
        <v>7</v>
      </c>
      <c r="W939" s="5" t="s">
        <v>10</v>
      </c>
      <c r="X939" s="5">
        <v>58</v>
      </c>
      <c r="Y939" s="5" t="s">
        <v>48</v>
      </c>
      <c r="Z939" s="5" t="s">
        <v>48</v>
      </c>
      <c r="AA939" s="5" t="s">
        <v>68</v>
      </c>
      <c r="AB939" s="5"/>
      <c r="AC939" s="5"/>
      <c r="AD939" s="5"/>
      <c r="AE939" s="5"/>
      <c r="AF939" s="5" t="s">
        <v>68</v>
      </c>
      <c r="AG939" s="5"/>
      <c r="AH939" s="5"/>
      <c r="AI939" s="5"/>
      <c r="AJ939" s="5"/>
      <c r="AK939" s="5"/>
      <c r="AL939" s="5"/>
      <c r="AM939" s="5"/>
      <c r="AN939" s="5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</row>
    <row r="940" spans="1:240" ht="30" customHeight="1">
      <c r="A940" s="5">
        <v>938</v>
      </c>
      <c r="B940" s="5" t="s">
        <v>68</v>
      </c>
      <c r="C940" s="5"/>
      <c r="D940" s="5"/>
      <c r="E940" s="5">
        <v>3543</v>
      </c>
      <c r="F940" s="5">
        <v>1252</v>
      </c>
      <c r="G940" s="5">
        <v>1340</v>
      </c>
      <c r="H940" s="5">
        <v>595</v>
      </c>
      <c r="I940" s="5" t="s">
        <v>17</v>
      </c>
      <c r="J940" s="24">
        <v>39.443427564596533</v>
      </c>
      <c r="K940" s="30">
        <v>5</v>
      </c>
      <c r="L940" s="5">
        <v>210</v>
      </c>
      <c r="M940" s="31">
        <v>10</v>
      </c>
      <c r="N940" s="5">
        <v>31</v>
      </c>
      <c r="O940" s="5">
        <v>68700</v>
      </c>
      <c r="P940" s="5"/>
      <c r="Q940" s="5"/>
      <c r="R940" s="5">
        <v>4</v>
      </c>
      <c r="S940" s="5">
        <v>800</v>
      </c>
      <c r="T940" s="5" t="s">
        <v>48</v>
      </c>
      <c r="U940" s="5">
        <v>882</v>
      </c>
      <c r="V940" s="5">
        <v>5.2</v>
      </c>
      <c r="W940" s="5" t="s">
        <v>10</v>
      </c>
      <c r="X940" s="5">
        <v>56</v>
      </c>
      <c r="Y940" s="5" t="s">
        <v>48</v>
      </c>
      <c r="Z940" s="5" t="s">
        <v>48</v>
      </c>
      <c r="AA940" s="5" t="s">
        <v>68</v>
      </c>
      <c r="AB940" s="5"/>
      <c r="AC940" s="5"/>
      <c r="AD940" s="5"/>
      <c r="AE940" s="5"/>
      <c r="AF940" s="5" t="s">
        <v>68</v>
      </c>
      <c r="AG940" s="5"/>
      <c r="AH940" s="5"/>
      <c r="AI940" s="5"/>
      <c r="AJ940" s="5"/>
      <c r="AK940" s="5"/>
      <c r="AL940" s="5"/>
      <c r="AM940" s="5"/>
      <c r="AN940" s="5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</row>
    <row r="941" spans="1:240" ht="30" customHeight="1">
      <c r="A941" s="5">
        <v>939</v>
      </c>
      <c r="B941" s="5" t="s">
        <v>68</v>
      </c>
      <c r="C941" s="5"/>
      <c r="D941" s="5"/>
      <c r="E941" s="5">
        <v>3543</v>
      </c>
      <c r="F941" s="5">
        <v>1252</v>
      </c>
      <c r="G941" s="5">
        <v>1340</v>
      </c>
      <c r="H941" s="5">
        <v>655</v>
      </c>
      <c r="I941" s="5" t="s">
        <v>17</v>
      </c>
      <c r="J941" s="24">
        <v>48.08341645969864</v>
      </c>
      <c r="K941" s="30">
        <v>5</v>
      </c>
      <c r="L941" s="5">
        <v>256</v>
      </c>
      <c r="M941" s="31">
        <v>10</v>
      </c>
      <c r="N941" s="5">
        <v>26</v>
      </c>
      <c r="O941" s="5">
        <v>71500</v>
      </c>
      <c r="P941" s="5"/>
      <c r="Q941" s="5"/>
      <c r="R941" s="5">
        <v>4</v>
      </c>
      <c r="S941" s="5">
        <v>800</v>
      </c>
      <c r="T941" s="5" t="s">
        <v>48</v>
      </c>
      <c r="U941" s="5">
        <v>980</v>
      </c>
      <c r="V941" s="5">
        <v>7</v>
      </c>
      <c r="W941" s="5" t="s">
        <v>10</v>
      </c>
      <c r="X941" s="5">
        <v>58</v>
      </c>
      <c r="Y941" s="5" t="s">
        <v>48</v>
      </c>
      <c r="Z941" s="5" t="s">
        <v>48</v>
      </c>
      <c r="AA941" s="5" t="s">
        <v>68</v>
      </c>
      <c r="AB941" s="5"/>
      <c r="AC941" s="5"/>
      <c r="AD941" s="5"/>
      <c r="AE941" s="5"/>
      <c r="AF941" s="5" t="s">
        <v>68</v>
      </c>
      <c r="AG941" s="5"/>
      <c r="AH941" s="5"/>
      <c r="AI941" s="5"/>
      <c r="AJ941" s="5"/>
      <c r="AK941" s="5"/>
      <c r="AL941" s="5"/>
      <c r="AM941" s="5"/>
      <c r="AN941" s="5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</row>
    <row r="942" spans="1:240" ht="30" customHeight="1">
      <c r="A942" s="5">
        <v>940</v>
      </c>
      <c r="B942" s="5" t="s">
        <v>68</v>
      </c>
      <c r="C942" s="5"/>
      <c r="D942" s="5"/>
      <c r="E942" s="5">
        <v>3543</v>
      </c>
      <c r="F942" s="5">
        <v>1252</v>
      </c>
      <c r="G942" s="5">
        <v>1340</v>
      </c>
      <c r="H942" s="5">
        <v>655</v>
      </c>
      <c r="I942" s="5" t="s">
        <v>17</v>
      </c>
      <c r="J942" s="24">
        <v>43.199944475510492</v>
      </c>
      <c r="K942" s="30">
        <v>5</v>
      </c>
      <c r="L942" s="5">
        <v>230</v>
      </c>
      <c r="M942" s="31">
        <v>10</v>
      </c>
      <c r="N942" s="5">
        <v>23</v>
      </c>
      <c r="O942" s="5">
        <v>63500</v>
      </c>
      <c r="P942" s="5"/>
      <c r="Q942" s="5"/>
      <c r="R942" s="5">
        <v>4</v>
      </c>
      <c r="S942" s="5">
        <v>800</v>
      </c>
      <c r="T942" s="5" t="s">
        <v>48</v>
      </c>
      <c r="U942" s="5">
        <v>882</v>
      </c>
      <c r="V942" s="5">
        <v>5.2</v>
      </c>
      <c r="W942" s="5" t="s">
        <v>10</v>
      </c>
      <c r="X942" s="5">
        <v>56</v>
      </c>
      <c r="Y942" s="5" t="s">
        <v>48</v>
      </c>
      <c r="Z942" s="5" t="s">
        <v>48</v>
      </c>
      <c r="AA942" s="5" t="s">
        <v>68</v>
      </c>
      <c r="AB942" s="5"/>
      <c r="AC942" s="5"/>
      <c r="AD942" s="5"/>
      <c r="AE942" s="5"/>
      <c r="AF942" s="5" t="s">
        <v>68</v>
      </c>
      <c r="AG942" s="5"/>
      <c r="AH942" s="5"/>
      <c r="AI942" s="5"/>
      <c r="AJ942" s="5"/>
      <c r="AK942" s="5"/>
      <c r="AL942" s="5"/>
      <c r="AM942" s="5"/>
      <c r="AN942" s="5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</row>
    <row r="943" spans="1:240" ht="30" customHeight="1">
      <c r="A943" s="5">
        <v>941</v>
      </c>
      <c r="B943" s="5" t="s">
        <v>68</v>
      </c>
      <c r="C943" s="5"/>
      <c r="D943" s="5"/>
      <c r="E943" s="5">
        <v>3543</v>
      </c>
      <c r="F943" s="5">
        <v>1252</v>
      </c>
      <c r="G943" s="5">
        <v>1340</v>
      </c>
      <c r="H943" s="5">
        <v>655</v>
      </c>
      <c r="I943" s="5" t="s">
        <v>17</v>
      </c>
      <c r="J943" s="24">
        <v>38.692124182413743</v>
      </c>
      <c r="K943" s="30">
        <v>5</v>
      </c>
      <c r="L943" s="5">
        <v>206</v>
      </c>
      <c r="M943" s="31">
        <v>10</v>
      </c>
      <c r="N943" s="5">
        <v>20</v>
      </c>
      <c r="O943" s="5">
        <v>55700</v>
      </c>
      <c r="P943" s="5"/>
      <c r="Q943" s="5"/>
      <c r="R943" s="5">
        <v>4</v>
      </c>
      <c r="S943" s="5">
        <v>800</v>
      </c>
      <c r="T943" s="5" t="s">
        <v>48</v>
      </c>
      <c r="U943" s="5">
        <v>784</v>
      </c>
      <c r="V943" s="5">
        <v>3.6</v>
      </c>
      <c r="W943" s="5" t="s">
        <v>10</v>
      </c>
      <c r="X943" s="5">
        <v>53</v>
      </c>
      <c r="Y943" s="5" t="s">
        <v>48</v>
      </c>
      <c r="Z943" s="5" t="s">
        <v>48</v>
      </c>
      <c r="AA943" s="5" t="s">
        <v>68</v>
      </c>
      <c r="AB943" s="5"/>
      <c r="AC943" s="5"/>
      <c r="AD943" s="5"/>
      <c r="AE943" s="5"/>
      <c r="AF943" s="5" t="s">
        <v>68</v>
      </c>
      <c r="AG943" s="5"/>
      <c r="AH943" s="5"/>
      <c r="AI943" s="5"/>
      <c r="AJ943" s="5"/>
      <c r="AK943" s="5"/>
      <c r="AL943" s="5"/>
      <c r="AM943" s="5"/>
      <c r="AN943" s="5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</row>
    <row r="944" spans="1:240" ht="30" customHeight="1">
      <c r="A944" s="5">
        <v>942</v>
      </c>
      <c r="B944" s="5" t="s">
        <v>68</v>
      </c>
      <c r="C944" s="5"/>
      <c r="D944" s="5"/>
      <c r="E944" s="5">
        <v>3543</v>
      </c>
      <c r="F944" s="5">
        <v>1252</v>
      </c>
      <c r="G944" s="5">
        <v>1340</v>
      </c>
      <c r="H944" s="5">
        <v>655</v>
      </c>
      <c r="I944" s="5" t="s">
        <v>17</v>
      </c>
      <c r="J944" s="24">
        <v>34.559955580408392</v>
      </c>
      <c r="K944" s="30">
        <v>5</v>
      </c>
      <c r="L944" s="5">
        <v>184</v>
      </c>
      <c r="M944" s="31">
        <v>10</v>
      </c>
      <c r="N944" s="5">
        <v>16</v>
      </c>
      <c r="O944" s="5">
        <v>47800</v>
      </c>
      <c r="P944" s="5"/>
      <c r="Q944" s="5"/>
      <c r="R944" s="5">
        <v>4</v>
      </c>
      <c r="S944" s="5">
        <v>800</v>
      </c>
      <c r="T944" s="5" t="s">
        <v>48</v>
      </c>
      <c r="U944" s="5">
        <v>686</v>
      </c>
      <c r="V944" s="5">
        <v>2.4</v>
      </c>
      <c r="W944" s="5" t="s">
        <v>10</v>
      </c>
      <c r="X944" s="5">
        <v>50</v>
      </c>
      <c r="Y944" s="5" t="s">
        <v>48</v>
      </c>
      <c r="Z944" s="5" t="s">
        <v>48</v>
      </c>
      <c r="AA944" s="5" t="s">
        <v>68</v>
      </c>
      <c r="AB944" s="5"/>
      <c r="AC944" s="5"/>
      <c r="AD944" s="5"/>
      <c r="AE944" s="5"/>
      <c r="AF944" s="5" t="s">
        <v>68</v>
      </c>
      <c r="AG944" s="5"/>
      <c r="AH944" s="5"/>
      <c r="AI944" s="5"/>
      <c r="AJ944" s="5"/>
      <c r="AK944" s="5"/>
      <c r="AL944" s="5"/>
      <c r="AM944" s="5"/>
      <c r="AN944" s="5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</row>
    <row r="945" spans="1:240" ht="30" customHeight="1">
      <c r="A945" s="5">
        <v>943</v>
      </c>
      <c r="B945" s="5" t="s">
        <v>68</v>
      </c>
      <c r="C945" s="5"/>
      <c r="D945" s="5"/>
      <c r="E945" s="5">
        <v>3543</v>
      </c>
      <c r="F945" s="5">
        <v>1252</v>
      </c>
      <c r="G945" s="5">
        <v>1340</v>
      </c>
      <c r="H945" s="5">
        <v>655</v>
      </c>
      <c r="I945" s="5" t="s">
        <v>17</v>
      </c>
      <c r="J945" s="24">
        <v>30.427786978403041</v>
      </c>
      <c r="K945" s="30">
        <v>5</v>
      </c>
      <c r="L945" s="5">
        <v>162</v>
      </c>
      <c r="M945" s="31">
        <v>10</v>
      </c>
      <c r="N945" s="5">
        <v>13</v>
      </c>
      <c r="O945" s="5">
        <v>40200</v>
      </c>
      <c r="P945" s="5"/>
      <c r="Q945" s="5"/>
      <c r="R945" s="5">
        <v>4</v>
      </c>
      <c r="S945" s="5">
        <v>800</v>
      </c>
      <c r="T945" s="5" t="s">
        <v>48</v>
      </c>
      <c r="U945" s="5">
        <v>588</v>
      </c>
      <c r="V945" s="5">
        <v>1.48</v>
      </c>
      <c r="W945" s="5" t="s">
        <v>10</v>
      </c>
      <c r="X945" s="5">
        <v>47</v>
      </c>
      <c r="Y945" s="5" t="s">
        <v>48</v>
      </c>
      <c r="Z945" s="5" t="s">
        <v>48</v>
      </c>
      <c r="AA945" s="5" t="s">
        <v>68</v>
      </c>
      <c r="AB945" s="5"/>
      <c r="AC945" s="5"/>
      <c r="AD945" s="5"/>
      <c r="AE945" s="5"/>
      <c r="AF945" s="5" t="s">
        <v>68</v>
      </c>
      <c r="AG945" s="5"/>
      <c r="AH945" s="5"/>
      <c r="AI945" s="5"/>
      <c r="AJ945" s="5"/>
      <c r="AK945" s="5"/>
      <c r="AL945" s="5"/>
      <c r="AM945" s="5"/>
      <c r="AN945" s="5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</row>
    <row r="946" spans="1:240" ht="30" customHeight="1">
      <c r="A946" s="5">
        <v>944</v>
      </c>
      <c r="B946" s="5" t="s">
        <v>68</v>
      </c>
      <c r="C946" s="5"/>
      <c r="D946" s="5"/>
      <c r="E946" s="5">
        <v>3543</v>
      </c>
      <c r="F946" s="5">
        <v>1252</v>
      </c>
      <c r="G946" s="5">
        <v>1340</v>
      </c>
      <c r="H946" s="5">
        <v>655</v>
      </c>
      <c r="I946" s="5" t="s">
        <v>17</v>
      </c>
      <c r="J946" s="24">
        <v>25.544314994214901</v>
      </c>
      <c r="K946" s="30">
        <v>5</v>
      </c>
      <c r="L946" s="5">
        <v>136</v>
      </c>
      <c r="M946" s="31">
        <v>10</v>
      </c>
      <c r="N946" s="5">
        <v>10</v>
      </c>
      <c r="O946" s="5">
        <v>32600</v>
      </c>
      <c r="P946" s="5"/>
      <c r="Q946" s="5"/>
      <c r="R946" s="5">
        <v>4</v>
      </c>
      <c r="S946" s="5">
        <v>800</v>
      </c>
      <c r="T946" s="5" t="s">
        <v>48</v>
      </c>
      <c r="U946" s="5">
        <v>490</v>
      </c>
      <c r="V946" s="5">
        <v>0.88</v>
      </c>
      <c r="W946" s="5" t="s">
        <v>10</v>
      </c>
      <c r="X946" s="5">
        <v>43</v>
      </c>
      <c r="Y946" s="5" t="s">
        <v>48</v>
      </c>
      <c r="Z946" s="5" t="s">
        <v>48</v>
      </c>
      <c r="AA946" s="5" t="s">
        <v>68</v>
      </c>
      <c r="AB946" s="5"/>
      <c r="AC946" s="5"/>
      <c r="AD946" s="5"/>
      <c r="AE946" s="5"/>
      <c r="AF946" s="5" t="s">
        <v>68</v>
      </c>
      <c r="AG946" s="5"/>
      <c r="AH946" s="5"/>
      <c r="AI946" s="5"/>
      <c r="AJ946" s="5"/>
      <c r="AK946" s="5"/>
      <c r="AL946" s="5"/>
      <c r="AM946" s="5"/>
      <c r="AN946" s="5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</row>
    <row r="947" spans="1:240" ht="30" customHeight="1">
      <c r="A947" s="5">
        <v>945</v>
      </c>
      <c r="B947" s="5" t="s">
        <v>68</v>
      </c>
      <c r="C947" s="5"/>
      <c r="D947" s="5"/>
      <c r="E947" s="5">
        <v>3543</v>
      </c>
      <c r="F947" s="5">
        <v>1252</v>
      </c>
      <c r="G947" s="5">
        <v>1340</v>
      </c>
      <c r="H947" s="5">
        <v>655</v>
      </c>
      <c r="I947" s="5" t="s">
        <v>17</v>
      </c>
      <c r="J947" s="24">
        <v>21.036494701118151</v>
      </c>
      <c r="K947" s="30">
        <v>5</v>
      </c>
      <c r="L947" s="5">
        <v>112</v>
      </c>
      <c r="M947" s="31">
        <v>10</v>
      </c>
      <c r="N947" s="5">
        <v>7</v>
      </c>
      <c r="O947" s="5">
        <v>25400</v>
      </c>
      <c r="P947" s="5"/>
      <c r="Q947" s="5"/>
      <c r="R947" s="5">
        <v>4</v>
      </c>
      <c r="S947" s="5">
        <v>800</v>
      </c>
      <c r="T947" s="5" t="s">
        <v>48</v>
      </c>
      <c r="U947" s="5">
        <v>392</v>
      </c>
      <c r="V947" s="5">
        <v>0.52</v>
      </c>
      <c r="W947" s="5" t="s">
        <v>10</v>
      </c>
      <c r="X947" s="5">
        <v>39</v>
      </c>
      <c r="Y947" s="5" t="s">
        <v>48</v>
      </c>
      <c r="Z947" s="5" t="s">
        <v>48</v>
      </c>
      <c r="AA947" s="5" t="s">
        <v>68</v>
      </c>
      <c r="AB947" s="5"/>
      <c r="AC947" s="5"/>
      <c r="AD947" s="5"/>
      <c r="AE947" s="5"/>
      <c r="AF947" s="5" t="s">
        <v>68</v>
      </c>
      <c r="AG947" s="5"/>
      <c r="AH947" s="5"/>
      <c r="AI947" s="5"/>
      <c r="AJ947" s="5"/>
      <c r="AK947" s="5"/>
      <c r="AL947" s="5"/>
      <c r="AM947" s="5"/>
      <c r="AN947" s="5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</row>
    <row r="948" spans="1:240" ht="30" customHeight="1">
      <c r="A948" s="5">
        <v>946</v>
      </c>
      <c r="B948" s="5" t="s">
        <v>68</v>
      </c>
      <c r="C948" s="5"/>
      <c r="D948" s="5"/>
      <c r="E948" s="5">
        <v>3543</v>
      </c>
      <c r="F948" s="5">
        <v>1252</v>
      </c>
      <c r="G948" s="5">
        <v>1340</v>
      </c>
      <c r="H948" s="5">
        <v>655</v>
      </c>
      <c r="I948" s="5" t="s">
        <v>17</v>
      </c>
      <c r="J948" s="24">
        <v>15.401719334747218</v>
      </c>
      <c r="K948" s="30">
        <v>5</v>
      </c>
      <c r="L948" s="5">
        <v>82</v>
      </c>
      <c r="M948" s="31">
        <v>10</v>
      </c>
      <c r="N948" s="5">
        <v>3</v>
      </c>
      <c r="O948" s="5">
        <v>18100</v>
      </c>
      <c r="P948" s="5"/>
      <c r="Q948" s="5"/>
      <c r="R948" s="5">
        <v>4</v>
      </c>
      <c r="S948" s="5">
        <v>800</v>
      </c>
      <c r="T948" s="5" t="s">
        <v>48</v>
      </c>
      <c r="U948" s="5">
        <v>294</v>
      </c>
      <c r="V948" s="5">
        <v>0.2</v>
      </c>
      <c r="W948" s="5" t="s">
        <v>10</v>
      </c>
      <c r="X948" s="5">
        <v>35</v>
      </c>
      <c r="Y948" s="5" t="s">
        <v>48</v>
      </c>
      <c r="Z948" s="5" t="s">
        <v>48</v>
      </c>
      <c r="AA948" s="5" t="s">
        <v>68</v>
      </c>
      <c r="AB948" s="5"/>
      <c r="AC948" s="5"/>
      <c r="AD948" s="5"/>
      <c r="AE948" s="5"/>
      <c r="AF948" s="5" t="s">
        <v>68</v>
      </c>
      <c r="AG948" s="5"/>
      <c r="AH948" s="5"/>
      <c r="AI948" s="5"/>
      <c r="AJ948" s="5"/>
      <c r="AK948" s="5"/>
      <c r="AL948" s="5"/>
      <c r="AM948" s="5"/>
      <c r="AN948" s="5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</row>
    <row r="949" spans="1:240" ht="30" customHeight="1">
      <c r="A949" s="5">
        <v>947</v>
      </c>
      <c r="B949" s="5" t="s">
        <v>68</v>
      </c>
      <c r="C949" s="5"/>
      <c r="D949" s="5"/>
      <c r="E949" s="5">
        <v>5208</v>
      </c>
      <c r="F949" s="5">
        <v>1252</v>
      </c>
      <c r="G949" s="5">
        <v>1340</v>
      </c>
      <c r="H949" s="5">
        <v>835</v>
      </c>
      <c r="I949" s="5" t="s">
        <v>17</v>
      </c>
      <c r="J949" s="24">
        <v>64.799916713265745</v>
      </c>
      <c r="K949" s="30">
        <v>5</v>
      </c>
      <c r="L949" s="5">
        <v>345</v>
      </c>
      <c r="M949" s="31">
        <v>10</v>
      </c>
      <c r="N949" s="5">
        <v>35</v>
      </c>
      <c r="O949" s="5">
        <v>116400</v>
      </c>
      <c r="P949" s="5"/>
      <c r="Q949" s="5"/>
      <c r="R949" s="5">
        <v>6</v>
      </c>
      <c r="S949" s="5">
        <v>800</v>
      </c>
      <c r="T949" s="5" t="s">
        <v>48</v>
      </c>
      <c r="U949" s="5">
        <v>980</v>
      </c>
      <c r="V949" s="5">
        <v>10.5</v>
      </c>
      <c r="W949" s="5" t="s">
        <v>10</v>
      </c>
      <c r="X949" s="5">
        <v>60</v>
      </c>
      <c r="Y949" s="5" t="s">
        <v>48</v>
      </c>
      <c r="Z949" s="5" t="s">
        <v>48</v>
      </c>
      <c r="AA949" s="5" t="s">
        <v>68</v>
      </c>
      <c r="AB949" s="5"/>
      <c r="AC949" s="5"/>
      <c r="AD949" s="5"/>
      <c r="AE949" s="5"/>
      <c r="AF949" s="5" t="s">
        <v>68</v>
      </c>
      <c r="AG949" s="5"/>
      <c r="AH949" s="5"/>
      <c r="AI949" s="5"/>
      <c r="AJ949" s="5"/>
      <c r="AK949" s="5"/>
      <c r="AL949" s="5"/>
      <c r="AM949" s="5"/>
      <c r="AN949" s="5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/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</row>
    <row r="950" spans="1:240" ht="30" customHeight="1">
      <c r="A950" s="5">
        <v>948</v>
      </c>
      <c r="B950" s="5" t="s">
        <v>68</v>
      </c>
      <c r="C950" s="5"/>
      <c r="D950" s="5"/>
      <c r="E950" s="5">
        <v>5208</v>
      </c>
      <c r="F950" s="5">
        <v>1252</v>
      </c>
      <c r="G950" s="5">
        <v>1340</v>
      </c>
      <c r="H950" s="5">
        <v>835</v>
      </c>
      <c r="I950" s="5" t="s">
        <v>17</v>
      </c>
      <c r="J950" s="24">
        <v>60.479922265714684</v>
      </c>
      <c r="K950" s="30">
        <v>5</v>
      </c>
      <c r="L950" s="5">
        <v>322</v>
      </c>
      <c r="M950" s="31">
        <v>10</v>
      </c>
      <c r="N950" s="5">
        <v>30</v>
      </c>
      <c r="O950" s="5">
        <v>103500</v>
      </c>
      <c r="P950" s="5"/>
      <c r="Q950" s="5"/>
      <c r="R950" s="5">
        <v>6</v>
      </c>
      <c r="S950" s="5">
        <v>800</v>
      </c>
      <c r="T950" s="5" t="s">
        <v>48</v>
      </c>
      <c r="U950" s="5">
        <v>882</v>
      </c>
      <c r="V950" s="5">
        <v>7.8</v>
      </c>
      <c r="W950" s="5" t="s">
        <v>10</v>
      </c>
      <c r="X950" s="5">
        <v>58</v>
      </c>
      <c r="Y950" s="5" t="s">
        <v>48</v>
      </c>
      <c r="Z950" s="5" t="s">
        <v>48</v>
      </c>
      <c r="AA950" s="5" t="s">
        <v>68</v>
      </c>
      <c r="AB950" s="5"/>
      <c r="AC950" s="5"/>
      <c r="AD950" s="5"/>
      <c r="AE950" s="5"/>
      <c r="AF950" s="5" t="s">
        <v>68</v>
      </c>
      <c r="AG950" s="5"/>
      <c r="AH950" s="5"/>
      <c r="AI950" s="5"/>
      <c r="AJ950" s="5"/>
      <c r="AK950" s="5"/>
      <c r="AL950" s="5"/>
      <c r="AM950" s="5"/>
      <c r="AN950" s="5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</row>
    <row r="951" spans="1:240" ht="30" customHeight="1">
      <c r="A951" s="5">
        <v>949</v>
      </c>
      <c r="B951" s="5" t="s">
        <v>68</v>
      </c>
      <c r="C951" s="5"/>
      <c r="D951" s="5"/>
      <c r="E951" s="5">
        <v>5208</v>
      </c>
      <c r="F951" s="5">
        <v>1252</v>
      </c>
      <c r="G951" s="5">
        <v>1340</v>
      </c>
      <c r="H951" s="5">
        <v>835</v>
      </c>
      <c r="I951" s="5" t="s">
        <v>17</v>
      </c>
      <c r="J951" s="24">
        <v>56.347753663709334</v>
      </c>
      <c r="K951" s="30">
        <v>5</v>
      </c>
      <c r="L951" s="5">
        <v>300</v>
      </c>
      <c r="M951" s="31">
        <v>10</v>
      </c>
      <c r="N951" s="5">
        <v>26</v>
      </c>
      <c r="O951" s="5">
        <v>91100</v>
      </c>
      <c r="P951" s="5"/>
      <c r="Q951" s="5"/>
      <c r="R951" s="5">
        <v>6</v>
      </c>
      <c r="S951" s="5">
        <v>800</v>
      </c>
      <c r="T951" s="5" t="s">
        <v>48</v>
      </c>
      <c r="U951" s="5">
        <v>784</v>
      </c>
      <c r="V951" s="5">
        <v>5.4</v>
      </c>
      <c r="W951" s="5" t="s">
        <v>10</v>
      </c>
      <c r="X951" s="5">
        <v>55</v>
      </c>
      <c r="Y951" s="5" t="s">
        <v>48</v>
      </c>
      <c r="Z951" s="5" t="s">
        <v>48</v>
      </c>
      <c r="AA951" s="5" t="s">
        <v>68</v>
      </c>
      <c r="AB951" s="5"/>
      <c r="AC951" s="5"/>
      <c r="AD951" s="5"/>
      <c r="AE951" s="5"/>
      <c r="AF951" s="5" t="s">
        <v>68</v>
      </c>
      <c r="AG951" s="5"/>
      <c r="AH951" s="5"/>
      <c r="AI951" s="5"/>
      <c r="AJ951" s="5"/>
      <c r="AK951" s="5"/>
      <c r="AL951" s="5"/>
      <c r="AM951" s="5"/>
      <c r="AN951" s="5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</row>
    <row r="952" spans="1:240" ht="30" customHeight="1">
      <c r="A952" s="5">
        <v>950</v>
      </c>
      <c r="B952" s="5" t="s">
        <v>68</v>
      </c>
      <c r="C952" s="5"/>
      <c r="D952" s="5"/>
      <c r="E952" s="5">
        <v>5208</v>
      </c>
      <c r="F952" s="5">
        <v>1252</v>
      </c>
      <c r="G952" s="5">
        <v>1340</v>
      </c>
      <c r="H952" s="5">
        <v>835</v>
      </c>
      <c r="I952" s="5" t="s">
        <v>17</v>
      </c>
      <c r="J952" s="24">
        <v>50.337326606247011</v>
      </c>
      <c r="K952" s="30">
        <v>5</v>
      </c>
      <c r="L952" s="5">
        <v>268</v>
      </c>
      <c r="M952" s="31">
        <v>10</v>
      </c>
      <c r="N952" s="5">
        <v>22</v>
      </c>
      <c r="O952" s="5">
        <v>78300</v>
      </c>
      <c r="P952" s="5"/>
      <c r="Q952" s="5"/>
      <c r="R952" s="5">
        <v>6</v>
      </c>
      <c r="S952" s="5">
        <v>800</v>
      </c>
      <c r="T952" s="5" t="s">
        <v>48</v>
      </c>
      <c r="U952" s="5">
        <v>686</v>
      </c>
      <c r="V952" s="5">
        <v>3.6</v>
      </c>
      <c r="W952" s="5" t="s">
        <v>10</v>
      </c>
      <c r="X952" s="5">
        <v>52</v>
      </c>
      <c r="Y952" s="5" t="s">
        <v>48</v>
      </c>
      <c r="Z952" s="5" t="s">
        <v>48</v>
      </c>
      <c r="AA952" s="5" t="s">
        <v>68</v>
      </c>
      <c r="AB952" s="5"/>
      <c r="AC952" s="5"/>
      <c r="AD952" s="5"/>
      <c r="AE952" s="5"/>
      <c r="AF952" s="5" t="s">
        <v>68</v>
      </c>
      <c r="AG952" s="5"/>
      <c r="AH952" s="5"/>
      <c r="AI952" s="5"/>
      <c r="AJ952" s="5"/>
      <c r="AK952" s="5"/>
      <c r="AL952" s="5"/>
      <c r="AM952" s="5"/>
      <c r="AN952" s="5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</row>
    <row r="953" spans="1:240" ht="30" customHeight="1">
      <c r="A953" s="5">
        <v>951</v>
      </c>
      <c r="B953" s="5" t="s">
        <v>68</v>
      </c>
      <c r="C953" s="5"/>
      <c r="D953" s="5"/>
      <c r="E953" s="5">
        <v>5208</v>
      </c>
      <c r="F953" s="5">
        <v>1252</v>
      </c>
      <c r="G953" s="5">
        <v>1340</v>
      </c>
      <c r="H953" s="5">
        <v>835</v>
      </c>
      <c r="I953" s="5" t="s">
        <v>17</v>
      </c>
      <c r="J953" s="24">
        <v>45.829506313150262</v>
      </c>
      <c r="K953" s="30">
        <v>5</v>
      </c>
      <c r="L953" s="5">
        <v>244</v>
      </c>
      <c r="M953" s="31">
        <v>10</v>
      </c>
      <c r="N953" s="5">
        <v>18</v>
      </c>
      <c r="O953" s="5">
        <v>65900</v>
      </c>
      <c r="P953" s="5"/>
      <c r="Q953" s="5"/>
      <c r="R953" s="5">
        <v>6</v>
      </c>
      <c r="S953" s="5">
        <v>800</v>
      </c>
      <c r="T953" s="5" t="s">
        <v>48</v>
      </c>
      <c r="U953" s="5">
        <v>588</v>
      </c>
      <c r="V953" s="5">
        <v>2.2200000000000002</v>
      </c>
      <c r="W953" s="5" t="s">
        <v>10</v>
      </c>
      <c r="X953" s="5">
        <v>49</v>
      </c>
      <c r="Y953" s="5" t="s">
        <v>48</v>
      </c>
      <c r="Z953" s="5" t="s">
        <v>48</v>
      </c>
      <c r="AA953" s="5" t="s">
        <v>68</v>
      </c>
      <c r="AB953" s="5"/>
      <c r="AC953" s="5"/>
      <c r="AD953" s="5"/>
      <c r="AE953" s="5"/>
      <c r="AF953" s="5" t="s">
        <v>68</v>
      </c>
      <c r="AG953" s="5"/>
      <c r="AH953" s="5"/>
      <c r="AI953" s="5"/>
      <c r="AJ953" s="5"/>
      <c r="AK953" s="5"/>
      <c r="AL953" s="5"/>
      <c r="AM953" s="5"/>
      <c r="AN953" s="5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</row>
    <row r="954" spans="1:240" ht="30" customHeight="1">
      <c r="A954" s="5">
        <v>952</v>
      </c>
      <c r="B954" s="5" t="s">
        <v>68</v>
      </c>
      <c r="C954" s="5"/>
      <c r="D954" s="5"/>
      <c r="E954" s="5">
        <v>5208</v>
      </c>
      <c r="F954" s="5">
        <v>1252</v>
      </c>
      <c r="G954" s="5">
        <v>1340</v>
      </c>
      <c r="H954" s="5">
        <v>835</v>
      </c>
      <c r="I954" s="5" t="s">
        <v>17</v>
      </c>
      <c r="J954" s="24">
        <v>39.443427564596533</v>
      </c>
      <c r="K954" s="30">
        <v>5</v>
      </c>
      <c r="L954" s="5">
        <v>210</v>
      </c>
      <c r="M954" s="31">
        <v>10</v>
      </c>
      <c r="N954" s="5">
        <v>14</v>
      </c>
      <c r="O954" s="5">
        <v>54000</v>
      </c>
      <c r="P954" s="5"/>
      <c r="Q954" s="5"/>
      <c r="R954" s="5">
        <v>6</v>
      </c>
      <c r="S954" s="5">
        <v>800</v>
      </c>
      <c r="T954" s="5" t="s">
        <v>48</v>
      </c>
      <c r="U954" s="5">
        <v>490</v>
      </c>
      <c r="V954" s="5">
        <v>1.32</v>
      </c>
      <c r="W954" s="5" t="s">
        <v>10</v>
      </c>
      <c r="X954" s="5">
        <v>45</v>
      </c>
      <c r="Y954" s="5" t="s">
        <v>48</v>
      </c>
      <c r="Z954" s="5" t="s">
        <v>48</v>
      </c>
      <c r="AA954" s="5" t="s">
        <v>68</v>
      </c>
      <c r="AB954" s="5"/>
      <c r="AC954" s="5"/>
      <c r="AD954" s="5"/>
      <c r="AE954" s="5"/>
      <c r="AF954" s="5" t="s">
        <v>68</v>
      </c>
      <c r="AG954" s="5"/>
      <c r="AH954" s="5"/>
      <c r="AI954" s="5"/>
      <c r="AJ954" s="5"/>
      <c r="AK954" s="5"/>
      <c r="AL954" s="5"/>
      <c r="AM954" s="5"/>
      <c r="AN954" s="5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</row>
    <row r="955" spans="1:240" ht="30" customHeight="1">
      <c r="A955" s="5">
        <v>953</v>
      </c>
      <c r="B955" s="5" t="s">
        <v>68</v>
      </c>
      <c r="C955" s="5"/>
      <c r="D955" s="5"/>
      <c r="E955" s="5">
        <v>5208</v>
      </c>
      <c r="F955" s="5">
        <v>1252</v>
      </c>
      <c r="G955" s="5">
        <v>1340</v>
      </c>
      <c r="H955" s="5">
        <v>835</v>
      </c>
      <c r="I955" s="5" t="s">
        <v>17</v>
      </c>
      <c r="J955" s="24">
        <v>32.681697124951413</v>
      </c>
      <c r="K955" s="30">
        <v>5</v>
      </c>
      <c r="L955" s="5">
        <v>174</v>
      </c>
      <c r="M955" s="31">
        <v>10</v>
      </c>
      <c r="N955" s="5">
        <v>9</v>
      </c>
      <c r="O955" s="5">
        <v>42300</v>
      </c>
      <c r="P955" s="5"/>
      <c r="Q955" s="5"/>
      <c r="R955" s="5">
        <v>6</v>
      </c>
      <c r="S955" s="5">
        <v>800</v>
      </c>
      <c r="T955" s="5" t="s">
        <v>48</v>
      </c>
      <c r="U955" s="5">
        <v>392</v>
      </c>
      <c r="V955" s="5">
        <v>0.78</v>
      </c>
      <c r="W955" s="5" t="s">
        <v>10</v>
      </c>
      <c r="X955" s="5">
        <v>41</v>
      </c>
      <c r="Y955" s="5" t="s">
        <v>48</v>
      </c>
      <c r="Z955" s="5" t="s">
        <v>48</v>
      </c>
      <c r="AA955" s="5" t="s">
        <v>68</v>
      </c>
      <c r="AB955" s="5"/>
      <c r="AC955" s="5"/>
      <c r="AD955" s="5"/>
      <c r="AE955" s="5"/>
      <c r="AF955" s="5" t="s">
        <v>68</v>
      </c>
      <c r="AG955" s="5"/>
      <c r="AH955" s="5"/>
      <c r="AI955" s="5"/>
      <c r="AJ955" s="5"/>
      <c r="AK955" s="5"/>
      <c r="AL955" s="5"/>
      <c r="AM955" s="5"/>
      <c r="AN955" s="5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</row>
    <row r="956" spans="1:240" ht="30" customHeight="1">
      <c r="A956" s="5">
        <v>954</v>
      </c>
      <c r="B956" s="5" t="s">
        <v>68</v>
      </c>
      <c r="C956" s="5"/>
      <c r="D956" s="5"/>
      <c r="E956" s="5">
        <v>5208</v>
      </c>
      <c r="F956" s="5">
        <v>1252</v>
      </c>
      <c r="G956" s="5">
        <v>1340</v>
      </c>
      <c r="H956" s="5">
        <v>835</v>
      </c>
      <c r="I956" s="5" t="s">
        <v>17</v>
      </c>
      <c r="J956" s="24">
        <v>24.793011612032107</v>
      </c>
      <c r="K956" s="30">
        <v>5</v>
      </c>
      <c r="L956" s="5">
        <v>132</v>
      </c>
      <c r="M956" s="31">
        <v>10</v>
      </c>
      <c r="N956" s="5">
        <v>5</v>
      </c>
      <c r="O956" s="5">
        <v>30100</v>
      </c>
      <c r="P956" s="5"/>
      <c r="Q956" s="5"/>
      <c r="R956" s="5">
        <v>6</v>
      </c>
      <c r="S956" s="5">
        <v>800</v>
      </c>
      <c r="T956" s="5" t="s">
        <v>48</v>
      </c>
      <c r="U956" s="5">
        <v>294</v>
      </c>
      <c r="V956" s="5">
        <v>0.3</v>
      </c>
      <c r="W956" s="5" t="s">
        <v>10</v>
      </c>
      <c r="X956" s="5">
        <v>37</v>
      </c>
      <c r="Y956" s="5" t="s">
        <v>48</v>
      </c>
      <c r="Z956" s="5" t="s">
        <v>48</v>
      </c>
      <c r="AA956" s="5" t="s">
        <v>68</v>
      </c>
      <c r="AB956" s="5"/>
      <c r="AC956" s="5"/>
      <c r="AD956" s="5"/>
      <c r="AE956" s="5"/>
      <c r="AF956" s="5" t="s">
        <v>68</v>
      </c>
      <c r="AG956" s="5"/>
      <c r="AH956" s="5"/>
      <c r="AI956" s="5"/>
      <c r="AJ956" s="5"/>
      <c r="AK956" s="5"/>
      <c r="AL956" s="5"/>
      <c r="AM956" s="5"/>
      <c r="AN956" s="5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</row>
    <row r="957" spans="1:240" ht="30" customHeight="1">
      <c r="A957" s="5">
        <v>955</v>
      </c>
      <c r="B957" s="5" t="s">
        <v>68</v>
      </c>
      <c r="C957" s="5"/>
      <c r="D957" s="5"/>
      <c r="E957" s="5">
        <v>5208</v>
      </c>
      <c r="F957" s="5">
        <v>1252</v>
      </c>
      <c r="G957" s="5">
        <v>1340</v>
      </c>
      <c r="H957" s="5">
        <v>915</v>
      </c>
      <c r="I957" s="5" t="s">
        <v>17</v>
      </c>
      <c r="J957" s="24">
        <v>72.68860222618504</v>
      </c>
      <c r="K957" s="30">
        <v>5</v>
      </c>
      <c r="L957" s="5">
        <v>387</v>
      </c>
      <c r="M957" s="31">
        <v>10</v>
      </c>
      <c r="N957" s="5">
        <v>26</v>
      </c>
      <c r="O957" s="5">
        <v>107800</v>
      </c>
      <c r="P957" s="5"/>
      <c r="Q957" s="5"/>
      <c r="R957" s="5">
        <v>6</v>
      </c>
      <c r="S957" s="5">
        <v>800</v>
      </c>
      <c r="T957" s="5" t="s">
        <v>48</v>
      </c>
      <c r="U957" s="5">
        <v>980</v>
      </c>
      <c r="V957" s="5">
        <v>10.5</v>
      </c>
      <c r="W957" s="5" t="s">
        <v>10</v>
      </c>
      <c r="X957" s="5">
        <v>60</v>
      </c>
      <c r="Y957" s="5" t="s">
        <v>48</v>
      </c>
      <c r="Z957" s="5" t="s">
        <v>48</v>
      </c>
      <c r="AA957" s="5" t="s">
        <v>68</v>
      </c>
      <c r="AB957" s="5"/>
      <c r="AC957" s="5"/>
      <c r="AD957" s="5"/>
      <c r="AE957" s="5"/>
      <c r="AF957" s="5" t="s">
        <v>68</v>
      </c>
      <c r="AG957" s="5"/>
      <c r="AH957" s="5"/>
      <c r="AI957" s="5"/>
      <c r="AJ957" s="5"/>
      <c r="AK957" s="5"/>
      <c r="AL957" s="5"/>
      <c r="AM957" s="5"/>
      <c r="AN957" s="5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/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</row>
    <row r="958" spans="1:240" ht="30" customHeight="1">
      <c r="A958" s="5">
        <v>956</v>
      </c>
      <c r="B958" s="5" t="s">
        <v>68</v>
      </c>
      <c r="C958" s="5"/>
      <c r="D958" s="5"/>
      <c r="E958" s="5">
        <v>5208</v>
      </c>
      <c r="F958" s="5">
        <v>1252</v>
      </c>
      <c r="G958" s="5">
        <v>1340</v>
      </c>
      <c r="H958" s="5">
        <v>915</v>
      </c>
      <c r="I958" s="5" t="s">
        <v>17</v>
      </c>
      <c r="J958" s="24">
        <v>67.241652705359812</v>
      </c>
      <c r="K958" s="30">
        <v>5</v>
      </c>
      <c r="L958" s="5">
        <v>358</v>
      </c>
      <c r="M958" s="31">
        <v>10</v>
      </c>
      <c r="N958" s="5">
        <v>22</v>
      </c>
      <c r="O958" s="5">
        <v>95800</v>
      </c>
      <c r="P958" s="5"/>
      <c r="Q958" s="5"/>
      <c r="R958" s="5">
        <v>6</v>
      </c>
      <c r="S958" s="5">
        <v>800</v>
      </c>
      <c r="T958" s="5" t="s">
        <v>48</v>
      </c>
      <c r="U958" s="5">
        <v>882</v>
      </c>
      <c r="V958" s="5">
        <v>7.8</v>
      </c>
      <c r="W958" s="5" t="s">
        <v>10</v>
      </c>
      <c r="X958" s="5">
        <v>58</v>
      </c>
      <c r="Y958" s="5" t="s">
        <v>48</v>
      </c>
      <c r="Z958" s="5" t="s">
        <v>48</v>
      </c>
      <c r="AA958" s="5" t="s">
        <v>68</v>
      </c>
      <c r="AB958" s="5"/>
      <c r="AC958" s="5"/>
      <c r="AD958" s="5"/>
      <c r="AE958" s="5"/>
      <c r="AF958" s="5" t="s">
        <v>68</v>
      </c>
      <c r="AG958" s="5"/>
      <c r="AH958" s="5"/>
      <c r="AI958" s="5"/>
      <c r="AJ958" s="5"/>
      <c r="AK958" s="5"/>
      <c r="AL958" s="5"/>
      <c r="AM958" s="5"/>
      <c r="AN958" s="5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</row>
    <row r="959" spans="1:240" ht="30" customHeight="1">
      <c r="A959" s="5">
        <v>957</v>
      </c>
      <c r="B959" s="5" t="s">
        <v>68</v>
      </c>
      <c r="C959" s="5"/>
      <c r="D959" s="5"/>
      <c r="E959" s="5">
        <v>5208</v>
      </c>
      <c r="F959" s="5">
        <v>1252</v>
      </c>
      <c r="G959" s="5">
        <v>1340</v>
      </c>
      <c r="H959" s="5">
        <v>915</v>
      </c>
      <c r="I959" s="5" t="s">
        <v>17</v>
      </c>
      <c r="J959" s="24">
        <v>60.855573956806083</v>
      </c>
      <c r="K959" s="30">
        <v>5</v>
      </c>
      <c r="L959" s="5">
        <v>324</v>
      </c>
      <c r="M959" s="31">
        <v>10</v>
      </c>
      <c r="N959" s="5">
        <v>19</v>
      </c>
      <c r="O959" s="5">
        <v>84000</v>
      </c>
      <c r="P959" s="5"/>
      <c r="Q959" s="5"/>
      <c r="R959" s="5">
        <v>6</v>
      </c>
      <c r="S959" s="5">
        <v>800</v>
      </c>
      <c r="T959" s="5" t="s">
        <v>48</v>
      </c>
      <c r="U959" s="5">
        <v>784</v>
      </c>
      <c r="V959" s="5">
        <v>5.4</v>
      </c>
      <c r="W959" s="5" t="s">
        <v>10</v>
      </c>
      <c r="X959" s="5">
        <v>55</v>
      </c>
      <c r="Y959" s="5" t="s">
        <v>48</v>
      </c>
      <c r="Z959" s="5" t="s">
        <v>48</v>
      </c>
      <c r="AA959" s="5" t="s">
        <v>68</v>
      </c>
      <c r="AB959" s="5"/>
      <c r="AC959" s="5"/>
      <c r="AD959" s="5"/>
      <c r="AE959" s="5"/>
      <c r="AF959" s="5" t="s">
        <v>68</v>
      </c>
      <c r="AG959" s="5"/>
      <c r="AH959" s="5"/>
      <c r="AI959" s="5"/>
      <c r="AJ959" s="5"/>
      <c r="AK959" s="5"/>
      <c r="AL959" s="5"/>
      <c r="AM959" s="5"/>
      <c r="AN959" s="5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</row>
    <row r="960" spans="1:240" ht="30" customHeight="1">
      <c r="A960" s="5">
        <v>958</v>
      </c>
      <c r="B960" s="5" t="s">
        <v>68</v>
      </c>
      <c r="C960" s="5"/>
      <c r="D960" s="5"/>
      <c r="E960" s="5">
        <v>5208</v>
      </c>
      <c r="F960" s="5">
        <v>1252</v>
      </c>
      <c r="G960" s="5">
        <v>1340</v>
      </c>
      <c r="H960" s="5">
        <v>915</v>
      </c>
      <c r="I960" s="5" t="s">
        <v>17</v>
      </c>
      <c r="J960" s="24">
        <v>54.093843517160963</v>
      </c>
      <c r="K960" s="30">
        <v>5</v>
      </c>
      <c r="L960" s="5">
        <v>288</v>
      </c>
      <c r="M960" s="31">
        <v>10</v>
      </c>
      <c r="N960" s="5">
        <v>16</v>
      </c>
      <c r="O960" s="5">
        <v>72100</v>
      </c>
      <c r="P960" s="5"/>
      <c r="Q960" s="5"/>
      <c r="R960" s="5">
        <v>6</v>
      </c>
      <c r="S960" s="5">
        <v>800</v>
      </c>
      <c r="T960" s="5" t="s">
        <v>48</v>
      </c>
      <c r="U960" s="5">
        <v>686</v>
      </c>
      <c r="V960" s="5">
        <v>3.6</v>
      </c>
      <c r="W960" s="5" t="s">
        <v>10</v>
      </c>
      <c r="X960" s="5">
        <v>52</v>
      </c>
      <c r="Y960" s="5" t="s">
        <v>48</v>
      </c>
      <c r="Z960" s="5" t="s">
        <v>48</v>
      </c>
      <c r="AA960" s="5" t="s">
        <v>68</v>
      </c>
      <c r="AB960" s="5"/>
      <c r="AC960" s="5"/>
      <c r="AD960" s="5"/>
      <c r="AE960" s="5"/>
      <c r="AF960" s="5" t="s">
        <v>68</v>
      </c>
      <c r="AG960" s="5"/>
      <c r="AH960" s="5"/>
      <c r="AI960" s="5"/>
      <c r="AJ960" s="5"/>
      <c r="AK960" s="5"/>
      <c r="AL960" s="5"/>
      <c r="AM960" s="5"/>
      <c r="AN960" s="5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</row>
    <row r="961" spans="1:240" ht="30" customHeight="1">
      <c r="A961" s="5">
        <v>959</v>
      </c>
      <c r="B961" s="5" t="s">
        <v>68</v>
      </c>
      <c r="C961" s="5"/>
      <c r="D961" s="5"/>
      <c r="E961" s="5">
        <v>5208</v>
      </c>
      <c r="F961" s="5">
        <v>1252</v>
      </c>
      <c r="G961" s="5">
        <v>1340</v>
      </c>
      <c r="H961" s="5">
        <v>915</v>
      </c>
      <c r="I961" s="5" t="s">
        <v>17</v>
      </c>
      <c r="J961" s="24">
        <v>47.332113077515842</v>
      </c>
      <c r="K961" s="30">
        <v>5</v>
      </c>
      <c r="L961" s="5">
        <v>252</v>
      </c>
      <c r="M961" s="31">
        <v>10</v>
      </c>
      <c r="N961" s="5">
        <v>13</v>
      </c>
      <c r="O961" s="5">
        <v>60600</v>
      </c>
      <c r="P961" s="5"/>
      <c r="Q961" s="5"/>
      <c r="R961" s="5">
        <v>6</v>
      </c>
      <c r="S961" s="5">
        <v>800</v>
      </c>
      <c r="T961" s="5" t="s">
        <v>48</v>
      </c>
      <c r="U961" s="5">
        <v>588</v>
      </c>
      <c r="V961" s="5">
        <v>2.2200000000000002</v>
      </c>
      <c r="W961" s="5" t="s">
        <v>10</v>
      </c>
      <c r="X961" s="5">
        <v>49</v>
      </c>
      <c r="Y961" s="5" t="s">
        <v>48</v>
      </c>
      <c r="Z961" s="5" t="s">
        <v>48</v>
      </c>
      <c r="AA961" s="5" t="s">
        <v>68</v>
      </c>
      <c r="AB961" s="5"/>
      <c r="AC961" s="5"/>
      <c r="AD961" s="5"/>
      <c r="AE961" s="5"/>
      <c r="AF961" s="5" t="s">
        <v>68</v>
      </c>
      <c r="AG961" s="5"/>
      <c r="AH961" s="5"/>
      <c r="AI961" s="5"/>
      <c r="AJ961" s="5"/>
      <c r="AK961" s="5"/>
      <c r="AL961" s="5"/>
      <c r="AM961" s="5"/>
      <c r="AN961" s="5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</row>
    <row r="962" spans="1:240" ht="30" customHeight="1">
      <c r="A962" s="5">
        <v>960</v>
      </c>
      <c r="B962" s="5" t="s">
        <v>68</v>
      </c>
      <c r="C962" s="5"/>
      <c r="D962" s="5"/>
      <c r="E962" s="5">
        <v>5208</v>
      </c>
      <c r="F962" s="5">
        <v>1252</v>
      </c>
      <c r="G962" s="5">
        <v>1340</v>
      </c>
      <c r="H962" s="5">
        <v>915</v>
      </c>
      <c r="I962" s="5" t="s">
        <v>17</v>
      </c>
      <c r="J962" s="24">
        <v>40.19473094677933</v>
      </c>
      <c r="K962" s="30">
        <v>5</v>
      </c>
      <c r="L962" s="5">
        <v>214</v>
      </c>
      <c r="M962" s="31">
        <v>10</v>
      </c>
      <c r="N962" s="5">
        <v>10</v>
      </c>
      <c r="O962" s="5">
        <v>49200</v>
      </c>
      <c r="P962" s="5"/>
      <c r="Q962" s="5"/>
      <c r="R962" s="5">
        <v>6</v>
      </c>
      <c r="S962" s="5">
        <v>800</v>
      </c>
      <c r="T962" s="5" t="s">
        <v>48</v>
      </c>
      <c r="U962" s="5">
        <v>490</v>
      </c>
      <c r="V962" s="5">
        <v>1.32</v>
      </c>
      <c r="W962" s="5" t="s">
        <v>10</v>
      </c>
      <c r="X962" s="5">
        <v>45</v>
      </c>
      <c r="Y962" s="5" t="s">
        <v>48</v>
      </c>
      <c r="Z962" s="5" t="s">
        <v>48</v>
      </c>
      <c r="AA962" s="5" t="s">
        <v>68</v>
      </c>
      <c r="AB962" s="5"/>
      <c r="AC962" s="5"/>
      <c r="AD962" s="5"/>
      <c r="AE962" s="5"/>
      <c r="AF962" s="5" t="s">
        <v>68</v>
      </c>
      <c r="AG962" s="5"/>
      <c r="AH962" s="5"/>
      <c r="AI962" s="5"/>
      <c r="AJ962" s="5"/>
      <c r="AK962" s="5"/>
      <c r="AL962" s="5"/>
      <c r="AM962" s="5"/>
      <c r="AN962" s="5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</row>
    <row r="963" spans="1:240" ht="30" customHeight="1">
      <c r="A963" s="5">
        <v>961</v>
      </c>
      <c r="B963" s="5" t="s">
        <v>68</v>
      </c>
      <c r="C963" s="5"/>
      <c r="D963" s="5"/>
      <c r="E963" s="5">
        <v>5208</v>
      </c>
      <c r="F963" s="5">
        <v>1252</v>
      </c>
      <c r="G963" s="5">
        <v>1340</v>
      </c>
      <c r="H963" s="5">
        <v>915</v>
      </c>
      <c r="I963" s="5" t="s">
        <v>17</v>
      </c>
      <c r="J963" s="24">
        <v>32.306045433860021</v>
      </c>
      <c r="K963" s="30">
        <v>5</v>
      </c>
      <c r="L963" s="5">
        <v>172</v>
      </c>
      <c r="M963" s="31">
        <v>10</v>
      </c>
      <c r="N963" s="5">
        <v>7</v>
      </c>
      <c r="O963" s="5">
        <v>38300</v>
      </c>
      <c r="P963" s="5"/>
      <c r="Q963" s="5"/>
      <c r="R963" s="5">
        <v>6</v>
      </c>
      <c r="S963" s="5">
        <v>800</v>
      </c>
      <c r="T963" s="5" t="s">
        <v>48</v>
      </c>
      <c r="U963" s="5">
        <v>392</v>
      </c>
      <c r="V963" s="5">
        <v>0.78</v>
      </c>
      <c r="W963" s="5" t="s">
        <v>10</v>
      </c>
      <c r="X963" s="5">
        <v>41</v>
      </c>
      <c r="Y963" s="5" t="s">
        <v>48</v>
      </c>
      <c r="Z963" s="5" t="s">
        <v>48</v>
      </c>
      <c r="AA963" s="5" t="s">
        <v>68</v>
      </c>
      <c r="AB963" s="5"/>
      <c r="AC963" s="5"/>
      <c r="AD963" s="5"/>
      <c r="AE963" s="5"/>
      <c r="AF963" s="5" t="s">
        <v>68</v>
      </c>
      <c r="AG963" s="5"/>
      <c r="AH963" s="5"/>
      <c r="AI963" s="5"/>
      <c r="AJ963" s="5"/>
      <c r="AK963" s="5"/>
      <c r="AL963" s="5"/>
      <c r="AM963" s="5"/>
      <c r="AN963" s="5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</row>
    <row r="964" spans="1:240" ht="30" customHeight="1">
      <c r="A964" s="5">
        <v>962</v>
      </c>
      <c r="B964" s="5" t="s">
        <v>68</v>
      </c>
      <c r="C964" s="5"/>
      <c r="D964" s="5"/>
      <c r="E964" s="5">
        <v>5208</v>
      </c>
      <c r="F964" s="5">
        <v>1252</v>
      </c>
      <c r="G964" s="5">
        <v>1340</v>
      </c>
      <c r="H964" s="5">
        <v>915</v>
      </c>
      <c r="I964" s="5" t="s">
        <v>17</v>
      </c>
      <c r="J964" s="24">
        <v>24.04170822984932</v>
      </c>
      <c r="K964" s="30">
        <v>5</v>
      </c>
      <c r="L964" s="5">
        <v>128</v>
      </c>
      <c r="M964" s="31">
        <v>10</v>
      </c>
      <c r="N964" s="5">
        <v>4</v>
      </c>
      <c r="O964" s="5">
        <v>27400</v>
      </c>
      <c r="P964" s="5"/>
      <c r="Q964" s="5"/>
      <c r="R964" s="5">
        <v>6</v>
      </c>
      <c r="S964" s="5">
        <v>800</v>
      </c>
      <c r="T964" s="5" t="s">
        <v>48</v>
      </c>
      <c r="U964" s="5">
        <v>294</v>
      </c>
      <c r="V964" s="5">
        <v>0.3</v>
      </c>
      <c r="W964" s="5" t="s">
        <v>10</v>
      </c>
      <c r="X964" s="5">
        <v>37</v>
      </c>
      <c r="Y964" s="5" t="s">
        <v>48</v>
      </c>
      <c r="Z964" s="5" t="s">
        <v>48</v>
      </c>
      <c r="AA964" s="5" t="s">
        <v>68</v>
      </c>
      <c r="AB964" s="5"/>
      <c r="AC964" s="5"/>
      <c r="AD964" s="5"/>
      <c r="AE964" s="5"/>
      <c r="AF964" s="5" t="s">
        <v>68</v>
      </c>
      <c r="AG964" s="5"/>
      <c r="AH964" s="5"/>
      <c r="AI964" s="5"/>
      <c r="AJ964" s="5"/>
      <c r="AK964" s="5"/>
      <c r="AL964" s="5"/>
      <c r="AM964" s="5"/>
      <c r="AN964" s="5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</row>
    <row r="965" spans="1:240" ht="30" customHeight="1">
      <c r="A965" s="5">
        <v>963</v>
      </c>
      <c r="B965" s="5" t="s">
        <v>68</v>
      </c>
      <c r="C965" s="5"/>
      <c r="D965" s="5"/>
      <c r="E965" s="5">
        <v>2270</v>
      </c>
      <c r="F965" s="5">
        <v>1090</v>
      </c>
      <c r="G965" s="5">
        <v>1590</v>
      </c>
      <c r="H965" s="5">
        <v>440</v>
      </c>
      <c r="I965" s="5" t="s">
        <v>17</v>
      </c>
      <c r="J965" s="5">
        <v>25</v>
      </c>
      <c r="K965" s="30">
        <v>5</v>
      </c>
      <c r="L965" s="5">
        <v>131</v>
      </c>
      <c r="M965" s="31">
        <v>10</v>
      </c>
      <c r="N965" s="5">
        <v>42</v>
      </c>
      <c r="O965" s="5">
        <v>46000</v>
      </c>
      <c r="P965" s="5"/>
      <c r="Q965" s="5">
        <v>1</v>
      </c>
      <c r="R965" s="5">
        <v>2</v>
      </c>
      <c r="S965" s="5">
        <v>800</v>
      </c>
      <c r="T965" s="5" t="s">
        <v>48</v>
      </c>
      <c r="U965" s="5">
        <v>910</v>
      </c>
      <c r="V965" s="5">
        <v>3.6</v>
      </c>
      <c r="W965" s="5" t="s">
        <v>84</v>
      </c>
      <c r="X965" s="5">
        <v>51</v>
      </c>
      <c r="Y965" s="5">
        <v>326</v>
      </c>
      <c r="Z965" s="5">
        <v>54</v>
      </c>
      <c r="AA965" s="5" t="s">
        <v>68</v>
      </c>
      <c r="AB965" s="5" t="s">
        <v>68</v>
      </c>
      <c r="AC965" s="5"/>
      <c r="AD965" s="5"/>
      <c r="AE965" s="5"/>
      <c r="AF965" s="5" t="s">
        <v>68</v>
      </c>
      <c r="AG965" s="5"/>
      <c r="AH965" s="5"/>
      <c r="AI965" s="5"/>
      <c r="AJ965" s="5"/>
      <c r="AK965" s="5"/>
      <c r="AL965" s="5"/>
      <c r="AM965" s="5"/>
      <c r="AN965" s="5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</row>
    <row r="966" spans="1:240" ht="30" customHeight="1">
      <c r="A966" s="5">
        <v>964</v>
      </c>
      <c r="B966" s="5" t="s">
        <v>68</v>
      </c>
      <c r="C966" s="5"/>
      <c r="D966" s="5"/>
      <c r="E966" s="5">
        <v>2270</v>
      </c>
      <c r="F966" s="5">
        <v>1090</v>
      </c>
      <c r="G966" s="5">
        <v>1590</v>
      </c>
      <c r="H966" s="5">
        <v>490</v>
      </c>
      <c r="I966" s="5" t="s">
        <v>17</v>
      </c>
      <c r="J966" s="5">
        <v>29</v>
      </c>
      <c r="K966" s="30">
        <v>5</v>
      </c>
      <c r="L966" s="5">
        <v>150</v>
      </c>
      <c r="M966" s="31">
        <v>10</v>
      </c>
      <c r="N966" s="5">
        <v>51</v>
      </c>
      <c r="O966" s="5">
        <v>45000</v>
      </c>
      <c r="P966" s="5"/>
      <c r="Q966" s="5">
        <v>1</v>
      </c>
      <c r="R966" s="5">
        <v>2</v>
      </c>
      <c r="S966" s="5">
        <v>800</v>
      </c>
      <c r="T966" s="5" t="s">
        <v>48</v>
      </c>
      <c r="U966" s="5">
        <v>910</v>
      </c>
      <c r="V966" s="5">
        <v>3.6</v>
      </c>
      <c r="W966" s="5" t="s">
        <v>84</v>
      </c>
      <c r="X966" s="5">
        <v>51</v>
      </c>
      <c r="Y966" s="5">
        <v>436</v>
      </c>
      <c r="Z966" s="5">
        <v>74</v>
      </c>
      <c r="AA966" s="5" t="s">
        <v>68</v>
      </c>
      <c r="AB966" s="5" t="s">
        <v>68</v>
      </c>
      <c r="AC966" s="5"/>
      <c r="AD966" s="5"/>
      <c r="AE966" s="5"/>
      <c r="AF966" s="5" t="s">
        <v>68</v>
      </c>
      <c r="AG966" s="5"/>
      <c r="AH966" s="5"/>
      <c r="AI966" s="5"/>
      <c r="AJ966" s="5"/>
      <c r="AK966" s="5"/>
      <c r="AL966" s="5"/>
      <c r="AM966" s="5"/>
      <c r="AN966" s="5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</row>
    <row r="967" spans="1:240" ht="30" customHeight="1">
      <c r="A967" s="5">
        <v>965</v>
      </c>
      <c r="B967" s="5" t="s">
        <v>68</v>
      </c>
      <c r="C967" s="5"/>
      <c r="D967" s="5"/>
      <c r="E967" s="5">
        <v>3210</v>
      </c>
      <c r="F967" s="5">
        <v>1090</v>
      </c>
      <c r="G967" s="5">
        <v>1590</v>
      </c>
      <c r="H967" s="5">
        <v>660</v>
      </c>
      <c r="I967" s="5" t="s">
        <v>17</v>
      </c>
      <c r="J967" s="5">
        <v>39</v>
      </c>
      <c r="K967" s="30">
        <v>5</v>
      </c>
      <c r="L967" s="5">
        <v>204</v>
      </c>
      <c r="M967" s="31">
        <v>10</v>
      </c>
      <c r="N967" s="5">
        <v>59</v>
      </c>
      <c r="O967" s="5">
        <v>70000</v>
      </c>
      <c r="P967" s="5"/>
      <c r="Q967" s="5">
        <v>1</v>
      </c>
      <c r="R967" s="5">
        <v>3</v>
      </c>
      <c r="S967" s="5">
        <v>800</v>
      </c>
      <c r="T967" s="5" t="s">
        <v>48</v>
      </c>
      <c r="U967" s="5">
        <v>910</v>
      </c>
      <c r="V967" s="5">
        <v>5.4</v>
      </c>
      <c r="W967" s="5" t="s">
        <v>84</v>
      </c>
      <c r="X967" s="5">
        <v>53</v>
      </c>
      <c r="Y967" s="5">
        <v>490</v>
      </c>
      <c r="Z967" s="5">
        <v>82</v>
      </c>
      <c r="AA967" s="5" t="s">
        <v>68</v>
      </c>
      <c r="AB967" s="5" t="s">
        <v>68</v>
      </c>
      <c r="AC967" s="5"/>
      <c r="AD967" s="5"/>
      <c r="AE967" s="5"/>
      <c r="AF967" s="5" t="s">
        <v>68</v>
      </c>
      <c r="AG967" s="5"/>
      <c r="AH967" s="5"/>
      <c r="AI967" s="5"/>
      <c r="AJ967" s="5"/>
      <c r="AK967" s="5"/>
      <c r="AL967" s="5"/>
      <c r="AM967" s="5"/>
      <c r="AN967" s="5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</row>
    <row r="968" spans="1:240" ht="30" customHeight="1">
      <c r="A968" s="5">
        <v>966</v>
      </c>
      <c r="B968" s="5" t="s">
        <v>68</v>
      </c>
      <c r="C968" s="5"/>
      <c r="D968" s="5"/>
      <c r="E968" s="5">
        <v>3210</v>
      </c>
      <c r="F968" s="5">
        <v>1090</v>
      </c>
      <c r="G968" s="5">
        <v>1590</v>
      </c>
      <c r="H968" s="5">
        <v>730</v>
      </c>
      <c r="I968" s="5" t="s">
        <v>17</v>
      </c>
      <c r="J968" s="5">
        <v>44</v>
      </c>
      <c r="K968" s="30">
        <v>5</v>
      </c>
      <c r="L968" s="5">
        <v>229</v>
      </c>
      <c r="M968" s="31">
        <v>10</v>
      </c>
      <c r="N968" s="5">
        <v>56</v>
      </c>
      <c r="O968" s="5">
        <v>66000</v>
      </c>
      <c r="P968" s="5"/>
      <c r="Q968" s="5">
        <v>1</v>
      </c>
      <c r="R968" s="5">
        <v>3</v>
      </c>
      <c r="S968" s="5">
        <v>800</v>
      </c>
      <c r="T968" s="5" t="s">
        <v>48</v>
      </c>
      <c r="U968" s="5">
        <v>910</v>
      </c>
      <c r="V968" s="5">
        <v>5.4</v>
      </c>
      <c r="W968" s="5" t="s">
        <v>84</v>
      </c>
      <c r="X968" s="5">
        <v>53</v>
      </c>
      <c r="Y968" s="5">
        <v>654</v>
      </c>
      <c r="Z968" s="5">
        <v>108</v>
      </c>
      <c r="AA968" s="5" t="s">
        <v>68</v>
      </c>
      <c r="AB968" s="5" t="s">
        <v>68</v>
      </c>
      <c r="AC968" s="5"/>
      <c r="AD968" s="5"/>
      <c r="AE968" s="5"/>
      <c r="AF968" s="5" t="s">
        <v>68</v>
      </c>
      <c r="AG968" s="5"/>
      <c r="AH968" s="5"/>
      <c r="AI968" s="5"/>
      <c r="AJ968" s="5"/>
      <c r="AK968" s="5"/>
      <c r="AL968" s="5"/>
      <c r="AM968" s="5"/>
      <c r="AN968" s="5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</row>
    <row r="969" spans="1:240" ht="30" customHeight="1">
      <c r="A969" s="5">
        <v>967</v>
      </c>
      <c r="B969" s="5" t="s">
        <v>68</v>
      </c>
      <c r="C969" s="5"/>
      <c r="D969" s="5"/>
      <c r="E969" s="5">
        <v>4180</v>
      </c>
      <c r="F969" s="5">
        <v>1090</v>
      </c>
      <c r="G969" s="5">
        <v>1590</v>
      </c>
      <c r="H969" s="5">
        <v>880</v>
      </c>
      <c r="I969" s="5" t="s">
        <v>17</v>
      </c>
      <c r="J969" s="5">
        <v>52</v>
      </c>
      <c r="K969" s="30">
        <v>5</v>
      </c>
      <c r="L969" s="5">
        <v>275</v>
      </c>
      <c r="M969" s="31">
        <v>10</v>
      </c>
      <c r="N969" s="5">
        <v>60</v>
      </c>
      <c r="O969" s="5">
        <v>92000</v>
      </c>
      <c r="P969" s="5"/>
      <c r="Q969" s="5">
        <v>1</v>
      </c>
      <c r="R969" s="5">
        <v>4</v>
      </c>
      <c r="S969" s="5">
        <v>800</v>
      </c>
      <c r="T969" s="5" t="s">
        <v>48</v>
      </c>
      <c r="U969" s="5">
        <v>910</v>
      </c>
      <c r="V969" s="5">
        <v>7.2</v>
      </c>
      <c r="W969" s="5" t="s">
        <v>84</v>
      </c>
      <c r="X969" s="5">
        <v>54</v>
      </c>
      <c r="Y969" s="5">
        <v>654</v>
      </c>
      <c r="Z969" s="5">
        <v>110</v>
      </c>
      <c r="AA969" s="5" t="s">
        <v>68</v>
      </c>
      <c r="AB969" s="5" t="s">
        <v>68</v>
      </c>
      <c r="AC969" s="5"/>
      <c r="AD969" s="5"/>
      <c r="AE969" s="5"/>
      <c r="AF969" s="5" t="s">
        <v>68</v>
      </c>
      <c r="AG969" s="5"/>
      <c r="AH969" s="5"/>
      <c r="AI969" s="5"/>
      <c r="AJ969" s="5"/>
      <c r="AK969" s="5"/>
      <c r="AL969" s="5"/>
      <c r="AM969" s="5"/>
      <c r="AN969" s="5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</row>
    <row r="970" spans="1:240" ht="30" customHeight="1">
      <c r="A970" s="5">
        <v>968</v>
      </c>
      <c r="B970" s="5" t="s">
        <v>68</v>
      </c>
      <c r="C970" s="5"/>
      <c r="D970" s="5"/>
      <c r="E970" s="5">
        <v>4180</v>
      </c>
      <c r="F970" s="5">
        <v>1090</v>
      </c>
      <c r="G970" s="5">
        <v>1590</v>
      </c>
      <c r="H970" s="5">
        <v>970</v>
      </c>
      <c r="I970" s="5" t="s">
        <v>17</v>
      </c>
      <c r="J970" s="5">
        <v>59</v>
      </c>
      <c r="K970" s="30">
        <v>5</v>
      </c>
      <c r="L970" s="5">
        <v>307</v>
      </c>
      <c r="M970" s="31">
        <v>10</v>
      </c>
      <c r="N970" s="5">
        <v>60</v>
      </c>
      <c r="O970" s="5">
        <v>88500</v>
      </c>
      <c r="P970" s="5"/>
      <c r="Q970" s="5">
        <v>1</v>
      </c>
      <c r="R970" s="5">
        <v>4</v>
      </c>
      <c r="S970" s="5">
        <v>800</v>
      </c>
      <c r="T970" s="5" t="s">
        <v>48</v>
      </c>
      <c r="U970" s="5">
        <v>910</v>
      </c>
      <c r="V970" s="5">
        <v>7.2</v>
      </c>
      <c r="W970" s="5" t="s">
        <v>84</v>
      </c>
      <c r="X970" s="5">
        <v>54</v>
      </c>
      <c r="Y970" s="5">
        <v>872</v>
      </c>
      <c r="Z970" s="5">
        <v>144</v>
      </c>
      <c r="AA970" s="5" t="s">
        <v>68</v>
      </c>
      <c r="AB970" s="5" t="s">
        <v>68</v>
      </c>
      <c r="AC970" s="5"/>
      <c r="AD970" s="5"/>
      <c r="AE970" s="5"/>
      <c r="AF970" s="5" t="s">
        <v>68</v>
      </c>
      <c r="AG970" s="5"/>
      <c r="AH970" s="5"/>
      <c r="AI970" s="5"/>
      <c r="AJ970" s="5"/>
      <c r="AK970" s="5"/>
      <c r="AL970" s="5"/>
      <c r="AM970" s="5"/>
      <c r="AN970" s="5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</row>
    <row r="971" spans="1:240" ht="30" customHeight="1">
      <c r="A971" s="5">
        <v>969</v>
      </c>
      <c r="B971" s="5" t="s">
        <v>68</v>
      </c>
      <c r="C971" s="5"/>
      <c r="D971" s="5"/>
      <c r="E971" s="5">
        <v>5150</v>
      </c>
      <c r="F971" s="5">
        <v>1090</v>
      </c>
      <c r="G971" s="5">
        <v>1590</v>
      </c>
      <c r="H971" s="5">
        <v>1100</v>
      </c>
      <c r="I971" s="5" t="s">
        <v>17</v>
      </c>
      <c r="J971" s="5">
        <v>64</v>
      </c>
      <c r="K971" s="30">
        <v>5</v>
      </c>
      <c r="L971" s="5">
        <v>338</v>
      </c>
      <c r="M971" s="31">
        <v>10</v>
      </c>
      <c r="N971" s="5">
        <v>57</v>
      </c>
      <c r="O971" s="5">
        <v>114000</v>
      </c>
      <c r="P971" s="5"/>
      <c r="Q971" s="5">
        <v>1</v>
      </c>
      <c r="R971" s="5">
        <v>5</v>
      </c>
      <c r="S971" s="5">
        <v>800</v>
      </c>
      <c r="T971" s="5" t="s">
        <v>48</v>
      </c>
      <c r="U971" s="5">
        <v>910</v>
      </c>
      <c r="V971" s="5">
        <v>9</v>
      </c>
      <c r="W971" s="5" t="s">
        <v>84</v>
      </c>
      <c r="X971" s="5">
        <v>55</v>
      </c>
      <c r="Y971" s="5">
        <v>816</v>
      </c>
      <c r="Z971" s="5">
        <v>134</v>
      </c>
      <c r="AA971" s="5" t="s">
        <v>68</v>
      </c>
      <c r="AB971" s="5" t="s">
        <v>68</v>
      </c>
      <c r="AC971" s="5"/>
      <c r="AD971" s="5"/>
      <c r="AE971" s="5"/>
      <c r="AF971" s="5" t="s">
        <v>68</v>
      </c>
      <c r="AG971" s="5"/>
      <c r="AH971" s="5"/>
      <c r="AI971" s="5"/>
      <c r="AJ971" s="5"/>
      <c r="AK971" s="5"/>
      <c r="AL971" s="5"/>
      <c r="AM971" s="5"/>
      <c r="AN971" s="5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</row>
    <row r="972" spans="1:240" ht="30" customHeight="1">
      <c r="A972" s="5">
        <v>970</v>
      </c>
      <c r="B972" s="5" t="s">
        <v>68</v>
      </c>
      <c r="C972" s="5"/>
      <c r="D972" s="5"/>
      <c r="E972" s="5">
        <v>5150</v>
      </c>
      <c r="F972" s="5">
        <v>1090</v>
      </c>
      <c r="G972" s="5">
        <v>1590</v>
      </c>
      <c r="H972" s="5">
        <v>1210</v>
      </c>
      <c r="I972" s="5" t="s">
        <v>17</v>
      </c>
      <c r="J972" s="5">
        <v>75</v>
      </c>
      <c r="K972" s="30">
        <v>5</v>
      </c>
      <c r="L972" s="5">
        <v>390</v>
      </c>
      <c r="M972" s="31">
        <v>10</v>
      </c>
      <c r="N972" s="5">
        <v>73</v>
      </c>
      <c r="O972" s="5">
        <v>112000</v>
      </c>
      <c r="P972" s="5"/>
      <c r="Q972" s="5">
        <v>1</v>
      </c>
      <c r="R972" s="5">
        <v>5</v>
      </c>
      <c r="S972" s="5">
        <v>800</v>
      </c>
      <c r="T972" s="5" t="s">
        <v>48</v>
      </c>
      <c r="U972" s="5">
        <v>910</v>
      </c>
      <c r="V972" s="5">
        <v>9</v>
      </c>
      <c r="W972" s="5" t="s">
        <v>84</v>
      </c>
      <c r="X972" s="5">
        <v>55</v>
      </c>
      <c r="Y972" s="5">
        <v>1090</v>
      </c>
      <c r="Z972" s="5">
        <v>180</v>
      </c>
      <c r="AA972" s="5" t="s">
        <v>68</v>
      </c>
      <c r="AB972" s="5" t="s">
        <v>68</v>
      </c>
      <c r="AC972" s="5"/>
      <c r="AD972" s="5"/>
      <c r="AE972" s="5"/>
      <c r="AF972" s="5" t="s">
        <v>68</v>
      </c>
      <c r="AG972" s="5"/>
      <c r="AH972" s="5"/>
      <c r="AI972" s="5"/>
      <c r="AJ972" s="5"/>
      <c r="AK972" s="5"/>
      <c r="AL972" s="5"/>
      <c r="AM972" s="5"/>
      <c r="AN972" s="5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</row>
    <row r="973" spans="1:240" ht="30" customHeight="1">
      <c r="A973" s="5">
        <v>971</v>
      </c>
      <c r="B973" s="5" t="s">
        <v>68</v>
      </c>
      <c r="C973" s="5"/>
      <c r="D973" s="5"/>
      <c r="E973" s="5">
        <v>1610</v>
      </c>
      <c r="F973" s="5">
        <v>780</v>
      </c>
      <c r="G973" s="5">
        <v>1065</v>
      </c>
      <c r="H973" s="5">
        <v>96</v>
      </c>
      <c r="I973" s="5" t="s">
        <v>17</v>
      </c>
      <c r="J973" s="5">
        <v>9.4</v>
      </c>
      <c r="K973" s="30">
        <v>5</v>
      </c>
      <c r="L973" s="5">
        <v>46</v>
      </c>
      <c r="M973" s="31">
        <v>10</v>
      </c>
      <c r="N973" s="5">
        <v>50</v>
      </c>
      <c r="O973" s="5">
        <v>11800</v>
      </c>
      <c r="P973" s="5"/>
      <c r="Q973" s="5">
        <v>1</v>
      </c>
      <c r="R973" s="5">
        <v>2</v>
      </c>
      <c r="S973" s="5">
        <v>500</v>
      </c>
      <c r="T973" s="5" t="s">
        <v>48</v>
      </c>
      <c r="U973" s="5">
        <v>1360</v>
      </c>
      <c r="V973" s="5">
        <v>1.4</v>
      </c>
      <c r="W973" s="5" t="s">
        <v>85</v>
      </c>
      <c r="X973" s="5">
        <v>51</v>
      </c>
      <c r="Y973" s="5">
        <v>96</v>
      </c>
      <c r="Z973" s="5">
        <v>15.8</v>
      </c>
      <c r="AA973" s="5" t="s">
        <v>68</v>
      </c>
      <c r="AB973" s="5" t="s">
        <v>68</v>
      </c>
      <c r="AC973" s="5"/>
      <c r="AD973" s="5"/>
      <c r="AE973" s="5"/>
      <c r="AF973" s="5" t="s">
        <v>68</v>
      </c>
      <c r="AG973" s="5"/>
      <c r="AH973" s="5"/>
      <c r="AI973" s="5"/>
      <c r="AJ973" s="5"/>
      <c r="AK973" s="5"/>
      <c r="AL973" s="5"/>
      <c r="AM973" s="5"/>
      <c r="AN973" s="5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</row>
    <row r="974" spans="1:240" ht="30" customHeight="1">
      <c r="A974" s="5">
        <v>972</v>
      </c>
      <c r="B974" s="5" t="s">
        <v>68</v>
      </c>
      <c r="C974" s="5"/>
      <c r="D974" s="5"/>
      <c r="E974" s="5">
        <v>1610</v>
      </c>
      <c r="F974" s="5">
        <v>780</v>
      </c>
      <c r="G974" s="5">
        <v>1065</v>
      </c>
      <c r="H974" s="5">
        <v>110</v>
      </c>
      <c r="I974" s="5" t="s">
        <v>17</v>
      </c>
      <c r="J974" s="5">
        <v>10.6</v>
      </c>
      <c r="K974" s="30">
        <v>5</v>
      </c>
      <c r="L974" s="5">
        <v>51</v>
      </c>
      <c r="M974" s="31">
        <v>10</v>
      </c>
      <c r="N974" s="5">
        <v>54</v>
      </c>
      <c r="O974" s="5">
        <v>11200</v>
      </c>
      <c r="P974" s="5"/>
      <c r="Q974" s="5">
        <v>1</v>
      </c>
      <c r="R974" s="5">
        <v>2</v>
      </c>
      <c r="S974" s="5">
        <v>500</v>
      </c>
      <c r="T974" s="5" t="s">
        <v>48</v>
      </c>
      <c r="U974" s="5">
        <v>1360</v>
      </c>
      <c r="V974" s="5">
        <v>1.4</v>
      </c>
      <c r="W974" s="5" t="s">
        <v>85</v>
      </c>
      <c r="X974" s="5">
        <v>51</v>
      </c>
      <c r="Y974" s="5">
        <v>128</v>
      </c>
      <c r="Z974" s="5">
        <v>21.2</v>
      </c>
      <c r="AA974" s="5" t="s">
        <v>68</v>
      </c>
      <c r="AB974" s="5" t="s">
        <v>68</v>
      </c>
      <c r="AC974" s="5"/>
      <c r="AD974" s="5"/>
      <c r="AE974" s="5"/>
      <c r="AF974" s="5" t="s">
        <v>68</v>
      </c>
      <c r="AG974" s="5"/>
      <c r="AH974" s="5"/>
      <c r="AI974" s="5"/>
      <c r="AJ974" s="5"/>
      <c r="AK974" s="5"/>
      <c r="AL974" s="5"/>
      <c r="AM974" s="5"/>
      <c r="AN974" s="5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</row>
    <row r="975" spans="1:240" ht="30" customHeight="1">
      <c r="A975" s="5">
        <v>973</v>
      </c>
      <c r="B975" s="5" t="s">
        <v>68</v>
      </c>
      <c r="C975" s="5"/>
      <c r="D975" s="5"/>
      <c r="E975" s="5">
        <v>2265</v>
      </c>
      <c r="F975" s="5">
        <v>780</v>
      </c>
      <c r="G975" s="5">
        <v>1065</v>
      </c>
      <c r="H975" s="5">
        <v>138</v>
      </c>
      <c r="I975" s="5" t="s">
        <v>17</v>
      </c>
      <c r="J975" s="5">
        <v>14.2</v>
      </c>
      <c r="K975" s="30">
        <v>5</v>
      </c>
      <c r="L975" s="5">
        <v>69</v>
      </c>
      <c r="M975" s="31">
        <v>10</v>
      </c>
      <c r="N975" s="5">
        <v>48</v>
      </c>
      <c r="O975" s="5">
        <v>17700</v>
      </c>
      <c r="P975" s="5"/>
      <c r="Q975" s="5">
        <v>1</v>
      </c>
      <c r="R975" s="5">
        <v>3</v>
      </c>
      <c r="S975" s="5">
        <v>500</v>
      </c>
      <c r="T975" s="5" t="s">
        <v>48</v>
      </c>
      <c r="U975" s="5">
        <v>1360</v>
      </c>
      <c r="V975" s="5">
        <v>2.1</v>
      </c>
      <c r="W975" s="5" t="s">
        <v>85</v>
      </c>
      <c r="X975" s="5">
        <v>53</v>
      </c>
      <c r="Y975" s="5">
        <v>144</v>
      </c>
      <c r="Z975" s="5">
        <v>23.6</v>
      </c>
      <c r="AA975" s="5" t="s">
        <v>68</v>
      </c>
      <c r="AB975" s="5" t="s">
        <v>68</v>
      </c>
      <c r="AC975" s="5"/>
      <c r="AD975" s="5"/>
      <c r="AE975" s="5"/>
      <c r="AF975" s="5" t="s">
        <v>68</v>
      </c>
      <c r="AG975" s="5"/>
      <c r="AH975" s="5"/>
      <c r="AI975" s="5"/>
      <c r="AJ975" s="5"/>
      <c r="AK975" s="5"/>
      <c r="AL975" s="5"/>
      <c r="AM975" s="5"/>
      <c r="AN975" s="5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</row>
    <row r="976" spans="1:240" ht="30" customHeight="1">
      <c r="A976" s="5">
        <v>974</v>
      </c>
      <c r="B976" s="5" t="s">
        <v>68</v>
      </c>
      <c r="C976" s="5"/>
      <c r="D976" s="5"/>
      <c r="E976" s="5">
        <v>2265</v>
      </c>
      <c r="F976" s="5">
        <v>780</v>
      </c>
      <c r="G976" s="5">
        <v>1065</v>
      </c>
      <c r="H976" s="5">
        <v>158</v>
      </c>
      <c r="I976" s="5" t="s">
        <v>17</v>
      </c>
      <c r="J976" s="5">
        <v>16</v>
      </c>
      <c r="K976" s="30">
        <v>5</v>
      </c>
      <c r="L976" s="5">
        <v>77</v>
      </c>
      <c r="M976" s="31">
        <v>10</v>
      </c>
      <c r="N976" s="5">
        <v>58</v>
      </c>
      <c r="O976" s="5">
        <v>16800</v>
      </c>
      <c r="P976" s="5"/>
      <c r="Q976" s="5">
        <v>1</v>
      </c>
      <c r="R976" s="5">
        <v>3</v>
      </c>
      <c r="S976" s="5">
        <v>500</v>
      </c>
      <c r="T976" s="5" t="s">
        <v>48</v>
      </c>
      <c r="U976" s="5">
        <v>1360</v>
      </c>
      <c r="V976" s="5">
        <v>2.1</v>
      </c>
      <c r="W976" s="5" t="s">
        <v>85</v>
      </c>
      <c r="X976" s="5">
        <v>53</v>
      </c>
      <c r="Y976" s="5">
        <v>192</v>
      </c>
      <c r="Z976" s="5">
        <v>31.6</v>
      </c>
      <c r="AA976" s="5" t="s">
        <v>68</v>
      </c>
      <c r="AB976" s="5" t="s">
        <v>68</v>
      </c>
      <c r="AC976" s="5"/>
      <c r="AD976" s="5"/>
      <c r="AE976" s="5"/>
      <c r="AF976" s="5" t="s">
        <v>68</v>
      </c>
      <c r="AG976" s="5"/>
      <c r="AH976" s="5"/>
      <c r="AI976" s="5"/>
      <c r="AJ976" s="5"/>
      <c r="AK976" s="5"/>
      <c r="AL976" s="5"/>
      <c r="AM976" s="5"/>
      <c r="AN976" s="5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</row>
    <row r="977" spans="1:240" ht="30" customHeight="1">
      <c r="A977" s="5">
        <v>975</v>
      </c>
      <c r="B977" s="5" t="s">
        <v>68</v>
      </c>
      <c r="C977" s="5"/>
      <c r="D977" s="5"/>
      <c r="E977" s="5">
        <v>2920</v>
      </c>
      <c r="F977" s="5">
        <v>780</v>
      </c>
      <c r="G977" s="5">
        <v>1065</v>
      </c>
      <c r="H977" s="5">
        <v>181</v>
      </c>
      <c r="I977" s="5" t="s">
        <v>17</v>
      </c>
      <c r="J977" s="5">
        <v>19</v>
      </c>
      <c r="K977" s="30">
        <v>5</v>
      </c>
      <c r="L977" s="5">
        <v>92</v>
      </c>
      <c r="M977" s="31">
        <v>10</v>
      </c>
      <c r="N977" s="5">
        <v>59</v>
      </c>
      <c r="O977" s="5">
        <v>23600</v>
      </c>
      <c r="P977" s="5"/>
      <c r="Q977" s="5">
        <v>1</v>
      </c>
      <c r="R977" s="5">
        <v>4</v>
      </c>
      <c r="S977" s="5">
        <v>500</v>
      </c>
      <c r="T977" s="5" t="s">
        <v>48</v>
      </c>
      <c r="U977" s="5">
        <v>1360</v>
      </c>
      <c r="V977" s="5">
        <v>2.8</v>
      </c>
      <c r="W977" s="5" t="s">
        <v>85</v>
      </c>
      <c r="X977" s="5">
        <v>54</v>
      </c>
      <c r="Y977" s="5">
        <v>192</v>
      </c>
      <c r="Z977" s="5">
        <v>31.4</v>
      </c>
      <c r="AA977" s="5" t="s">
        <v>68</v>
      </c>
      <c r="AB977" s="5" t="s">
        <v>68</v>
      </c>
      <c r="AC977" s="5"/>
      <c r="AD977" s="5"/>
      <c r="AE977" s="5"/>
      <c r="AF977" s="5" t="s">
        <v>68</v>
      </c>
      <c r="AG977" s="5"/>
      <c r="AH977" s="5"/>
      <c r="AI977" s="5"/>
      <c r="AJ977" s="5"/>
      <c r="AK977" s="5"/>
      <c r="AL977" s="5"/>
      <c r="AM977" s="5"/>
      <c r="AN977" s="5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</row>
    <row r="978" spans="1:240" ht="30" customHeight="1">
      <c r="A978" s="5">
        <v>976</v>
      </c>
      <c r="B978" s="5" t="s">
        <v>68</v>
      </c>
      <c r="C978" s="5"/>
      <c r="D978" s="5"/>
      <c r="E978" s="5">
        <v>2920</v>
      </c>
      <c r="F978" s="5">
        <v>780</v>
      </c>
      <c r="G978" s="5">
        <v>1065</v>
      </c>
      <c r="H978" s="5">
        <v>209</v>
      </c>
      <c r="I978" s="5" t="s">
        <v>17</v>
      </c>
      <c r="J978" s="5">
        <v>21.3</v>
      </c>
      <c r="K978" s="30">
        <v>5</v>
      </c>
      <c r="L978" s="5">
        <v>103</v>
      </c>
      <c r="M978" s="31">
        <v>10</v>
      </c>
      <c r="N978" s="5">
        <v>60</v>
      </c>
      <c r="O978" s="5">
        <v>22500</v>
      </c>
      <c r="P978" s="5"/>
      <c r="Q978" s="5">
        <v>1</v>
      </c>
      <c r="R978" s="5">
        <v>4</v>
      </c>
      <c r="S978" s="5">
        <v>500</v>
      </c>
      <c r="T978" s="5" t="s">
        <v>48</v>
      </c>
      <c r="U978" s="5">
        <v>1360</v>
      </c>
      <c r="V978" s="5">
        <v>2.8</v>
      </c>
      <c r="W978" s="5" t="s">
        <v>85</v>
      </c>
      <c r="X978" s="5">
        <v>54</v>
      </c>
      <c r="Y978" s="5">
        <v>256</v>
      </c>
      <c r="Z978" s="5">
        <v>42</v>
      </c>
      <c r="AA978" s="5" t="s">
        <v>68</v>
      </c>
      <c r="AB978" s="5" t="s">
        <v>68</v>
      </c>
      <c r="AC978" s="5"/>
      <c r="AD978" s="5"/>
      <c r="AE978" s="5"/>
      <c r="AF978" s="5" t="s">
        <v>68</v>
      </c>
      <c r="AG978" s="5"/>
      <c r="AH978" s="5"/>
      <c r="AI978" s="5"/>
      <c r="AJ978" s="5"/>
      <c r="AK978" s="5"/>
      <c r="AL978" s="5"/>
      <c r="AM978" s="5"/>
      <c r="AN978" s="5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</row>
    <row r="979" spans="1:240" ht="30" customHeight="1">
      <c r="A979" s="5">
        <v>977</v>
      </c>
      <c r="B979" s="5" t="s">
        <v>68</v>
      </c>
      <c r="C979" s="5"/>
      <c r="D979" s="5"/>
      <c r="E979" s="5">
        <v>3575</v>
      </c>
      <c r="F979" s="5">
        <v>780</v>
      </c>
      <c r="G979" s="5">
        <v>1065</v>
      </c>
      <c r="H979" s="5">
        <v>231</v>
      </c>
      <c r="I979" s="5" t="s">
        <v>17</v>
      </c>
      <c r="J979" s="5">
        <v>24</v>
      </c>
      <c r="K979" s="30">
        <v>5</v>
      </c>
      <c r="L979" s="5">
        <v>115</v>
      </c>
      <c r="M979" s="31">
        <v>10</v>
      </c>
      <c r="N979" s="5">
        <v>55</v>
      </c>
      <c r="O979" s="5">
        <v>29500</v>
      </c>
      <c r="P979" s="5"/>
      <c r="Q979" s="5">
        <v>1</v>
      </c>
      <c r="R979" s="5">
        <v>5</v>
      </c>
      <c r="S979" s="5">
        <v>500</v>
      </c>
      <c r="T979" s="5" t="s">
        <v>48</v>
      </c>
      <c r="U979" s="5">
        <v>1360</v>
      </c>
      <c r="V979" s="5">
        <v>3.5</v>
      </c>
      <c r="W979" s="5" t="s">
        <v>85</v>
      </c>
      <c r="X979" s="5">
        <v>55</v>
      </c>
      <c r="Y979" s="5">
        <v>240</v>
      </c>
      <c r="Z979" s="5">
        <v>39.200000000000003</v>
      </c>
      <c r="AA979" s="5" t="s">
        <v>68</v>
      </c>
      <c r="AB979" s="5" t="s">
        <v>68</v>
      </c>
      <c r="AC979" s="5"/>
      <c r="AD979" s="5"/>
      <c r="AE979" s="5"/>
      <c r="AF979" s="5" t="s">
        <v>68</v>
      </c>
      <c r="AG979" s="5"/>
      <c r="AH979" s="5"/>
      <c r="AI979" s="5"/>
      <c r="AJ979" s="5"/>
      <c r="AK979" s="5"/>
      <c r="AL979" s="5"/>
      <c r="AM979" s="5"/>
      <c r="AN979" s="5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</row>
    <row r="980" spans="1:240" ht="30" customHeight="1">
      <c r="A980" s="5">
        <v>978</v>
      </c>
      <c r="B980" s="5" t="s">
        <v>68</v>
      </c>
      <c r="C980" s="5"/>
      <c r="D980" s="5"/>
      <c r="E980" s="5">
        <v>3575</v>
      </c>
      <c r="F980" s="5">
        <v>780</v>
      </c>
      <c r="G980" s="5">
        <v>1065</v>
      </c>
      <c r="H980" s="5">
        <v>267</v>
      </c>
      <c r="I980" s="5" t="s">
        <v>17</v>
      </c>
      <c r="J980" s="5">
        <v>26.7</v>
      </c>
      <c r="K980" s="30">
        <v>5</v>
      </c>
      <c r="L980" s="5">
        <v>128</v>
      </c>
      <c r="M980" s="31">
        <v>10</v>
      </c>
      <c r="N980" s="5">
        <v>62</v>
      </c>
      <c r="O980" s="5">
        <v>28000</v>
      </c>
      <c r="P980" s="5"/>
      <c r="Q980" s="5">
        <v>1</v>
      </c>
      <c r="R980" s="5">
        <v>5</v>
      </c>
      <c r="S980" s="5">
        <v>500</v>
      </c>
      <c r="T980" s="5" t="s">
        <v>48</v>
      </c>
      <c r="U980" s="5">
        <v>1360</v>
      </c>
      <c r="V980" s="5">
        <v>3.5</v>
      </c>
      <c r="W980" s="5" t="s">
        <v>85</v>
      </c>
      <c r="X980" s="5">
        <v>55</v>
      </c>
      <c r="Y980" s="5">
        <v>320</v>
      </c>
      <c r="Z980" s="5">
        <v>52.2</v>
      </c>
      <c r="AA980" s="5" t="s">
        <v>68</v>
      </c>
      <c r="AB980" s="5" t="s">
        <v>68</v>
      </c>
      <c r="AC980" s="5"/>
      <c r="AD980" s="5"/>
      <c r="AE980" s="5"/>
      <c r="AF980" s="5" t="s">
        <v>68</v>
      </c>
      <c r="AG980" s="5"/>
      <c r="AH980" s="5"/>
      <c r="AI980" s="5"/>
      <c r="AJ980" s="5"/>
      <c r="AK980" s="5"/>
      <c r="AL980" s="5"/>
      <c r="AM980" s="5"/>
      <c r="AN980" s="5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</row>
    <row r="981" spans="1:240" ht="30" customHeight="1">
      <c r="A981" s="5">
        <v>979</v>
      </c>
      <c r="B981" s="5" t="s">
        <v>68</v>
      </c>
      <c r="C981" s="5"/>
      <c r="D981" s="5"/>
      <c r="E981" s="5">
        <v>2100</v>
      </c>
      <c r="F981" s="5">
        <v>800</v>
      </c>
      <c r="G981" s="5">
        <v>950</v>
      </c>
      <c r="H981" s="5">
        <v>135</v>
      </c>
      <c r="I981" s="5" t="s">
        <v>105</v>
      </c>
      <c r="J981" s="5">
        <f>60*60/1000</f>
        <v>3.6</v>
      </c>
      <c r="K981" s="30">
        <v>6</v>
      </c>
      <c r="L981" s="5">
        <v>25</v>
      </c>
      <c r="M981" s="31">
        <v>2.5</v>
      </c>
      <c r="N981" s="5">
        <f>0.35*10^5/1000</f>
        <v>35</v>
      </c>
      <c r="O981" s="5">
        <v>15000</v>
      </c>
      <c r="P981" s="5"/>
      <c r="Q981" s="5" t="s">
        <v>48</v>
      </c>
      <c r="R981" s="5">
        <v>3</v>
      </c>
      <c r="S981" s="5">
        <v>450</v>
      </c>
      <c r="T981" s="5" t="s">
        <v>48</v>
      </c>
      <c r="U981" s="5" t="s">
        <v>48</v>
      </c>
      <c r="V981" s="5">
        <f>0.8*R981</f>
        <v>2.4000000000000004</v>
      </c>
      <c r="W981" s="5" t="s">
        <v>106</v>
      </c>
      <c r="X981" s="5">
        <v>64</v>
      </c>
      <c r="Y981" s="5" t="s">
        <v>48</v>
      </c>
      <c r="Z981" s="5" t="s">
        <v>48</v>
      </c>
      <c r="AA981" s="5" t="s">
        <v>68</v>
      </c>
      <c r="AB981" s="5"/>
      <c r="AC981" s="5" t="s">
        <v>68</v>
      </c>
      <c r="AD981" s="5"/>
      <c r="AE981" s="5" t="s">
        <v>68</v>
      </c>
      <c r="AF981" s="5"/>
      <c r="AG981" s="5"/>
      <c r="AH981" s="18">
        <v>5000</v>
      </c>
      <c r="AI981" s="5"/>
      <c r="AJ981" s="5"/>
      <c r="AK981" s="5"/>
      <c r="AL981" s="5"/>
      <c r="AM981" s="16">
        <v>5000</v>
      </c>
      <c r="AN981" s="5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</row>
    <row r="982" spans="1:240" ht="30" customHeight="1">
      <c r="A982" s="5">
        <v>980</v>
      </c>
      <c r="B982" s="5" t="s">
        <v>68</v>
      </c>
      <c r="C982" s="5"/>
      <c r="D982" s="5"/>
      <c r="E982" s="5">
        <v>2400</v>
      </c>
      <c r="F982" s="5">
        <v>1050</v>
      </c>
      <c r="G982" s="5">
        <v>950</v>
      </c>
      <c r="H982" s="5">
        <v>165</v>
      </c>
      <c r="I982" s="5" t="s">
        <v>105</v>
      </c>
      <c r="J982" s="5">
        <f t="shared" ref="J982" si="28">60*60/1000</f>
        <v>3.6</v>
      </c>
      <c r="K982" s="30">
        <v>6</v>
      </c>
      <c r="L982" s="5">
        <v>35</v>
      </c>
      <c r="M982" s="31">
        <v>2.5</v>
      </c>
      <c r="N982" s="5">
        <f>0.35*10^5/1000</f>
        <v>35</v>
      </c>
      <c r="O982" s="5">
        <v>20000</v>
      </c>
      <c r="P982" s="5"/>
      <c r="Q982" s="5"/>
      <c r="R982" s="5">
        <v>3</v>
      </c>
      <c r="S982" s="5">
        <v>630</v>
      </c>
      <c r="T982" s="5" t="s">
        <v>48</v>
      </c>
      <c r="U982" s="5" t="s">
        <v>48</v>
      </c>
      <c r="V982" s="5">
        <v>0.9</v>
      </c>
      <c r="W982" s="5" t="s">
        <v>107</v>
      </c>
      <c r="X982" s="5">
        <v>67</v>
      </c>
      <c r="Y982" s="5" t="s">
        <v>48</v>
      </c>
      <c r="Z982" s="5" t="s">
        <v>48</v>
      </c>
      <c r="AA982" s="5" t="s">
        <v>68</v>
      </c>
      <c r="AB982" s="5"/>
      <c r="AC982" s="5" t="s">
        <v>68</v>
      </c>
      <c r="AD982" s="5"/>
      <c r="AE982" s="5" t="s">
        <v>68</v>
      </c>
      <c r="AF982" s="5"/>
      <c r="AG982" s="5"/>
      <c r="AH982" s="5"/>
      <c r="AI982" s="5"/>
      <c r="AJ982" s="5"/>
      <c r="AK982" s="5"/>
      <c r="AL982" s="5"/>
      <c r="AM982" s="5"/>
      <c r="AN982" s="5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</row>
    <row r="983" spans="1:240" ht="30" customHeight="1">
      <c r="A983" s="5">
        <v>981</v>
      </c>
      <c r="B983" s="5"/>
      <c r="C983" s="5"/>
      <c r="D983" s="5" t="s">
        <v>68</v>
      </c>
      <c r="E983" s="5">
        <v>914</v>
      </c>
      <c r="F983" s="5">
        <v>1207</v>
      </c>
      <c r="G983" s="5">
        <v>2036</v>
      </c>
      <c r="H983" s="5">
        <v>405</v>
      </c>
      <c r="I983" s="5" t="s">
        <v>13</v>
      </c>
      <c r="J983" s="5" t="s">
        <v>48</v>
      </c>
      <c r="K983" s="17" t="s">
        <v>48</v>
      </c>
      <c r="L983" s="5">
        <v>35.17</v>
      </c>
      <c r="M983" s="5" t="s">
        <v>48</v>
      </c>
      <c r="N983" s="5" t="s">
        <v>48</v>
      </c>
      <c r="O983" s="5">
        <v>6440</v>
      </c>
      <c r="P983" s="5"/>
      <c r="Q983" s="5"/>
      <c r="R983" s="5">
        <v>1</v>
      </c>
      <c r="S983" s="5" t="s">
        <v>48</v>
      </c>
      <c r="T983" s="5" t="s">
        <v>48</v>
      </c>
      <c r="U983" s="5" t="s">
        <v>48</v>
      </c>
      <c r="V983" s="5">
        <v>0.75</v>
      </c>
      <c r="W983" s="5" t="s">
        <v>10</v>
      </c>
      <c r="X983" s="5" t="s">
        <v>48</v>
      </c>
      <c r="Y983" s="5" t="s">
        <v>48</v>
      </c>
      <c r="Z983" s="5" t="s">
        <v>48</v>
      </c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</row>
    <row r="984" spans="1:240" ht="30" customHeight="1">
      <c r="A984" s="5">
        <v>982</v>
      </c>
      <c r="B984" s="5"/>
      <c r="C984" s="5"/>
      <c r="D984" s="5" t="s">
        <v>68</v>
      </c>
      <c r="E984" s="5">
        <v>914</v>
      </c>
      <c r="F984" s="5">
        <v>1207</v>
      </c>
      <c r="G984" s="5">
        <v>2036</v>
      </c>
      <c r="H984" s="5">
        <v>410</v>
      </c>
      <c r="I984" s="5" t="s">
        <v>13</v>
      </c>
      <c r="J984" s="5" t="s">
        <v>48</v>
      </c>
      <c r="K984" s="17" t="s">
        <v>48</v>
      </c>
      <c r="L984" s="5">
        <v>52.75</v>
      </c>
      <c r="M984" s="5" t="s">
        <v>48</v>
      </c>
      <c r="N984" s="5" t="s">
        <v>48</v>
      </c>
      <c r="O984" s="5">
        <v>6984</v>
      </c>
      <c r="P984" s="5"/>
      <c r="Q984" s="5"/>
      <c r="R984" s="5">
        <v>1</v>
      </c>
      <c r="S984" s="5" t="s">
        <v>48</v>
      </c>
      <c r="T984" s="5" t="s">
        <v>48</v>
      </c>
      <c r="U984" s="5" t="s">
        <v>48</v>
      </c>
      <c r="V984" s="5">
        <v>1.1000000000000001</v>
      </c>
      <c r="W984" s="5" t="s">
        <v>10</v>
      </c>
      <c r="X984" s="5" t="s">
        <v>48</v>
      </c>
      <c r="Y984" s="5" t="s">
        <v>48</v>
      </c>
      <c r="Z984" s="5" t="s">
        <v>48</v>
      </c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</row>
    <row r="985" spans="1:240" ht="30" customHeight="1">
      <c r="A985" s="5">
        <v>983</v>
      </c>
      <c r="B985" s="5"/>
      <c r="C985" s="5"/>
      <c r="D985" s="5" t="s">
        <v>68</v>
      </c>
      <c r="E985" s="5">
        <v>914</v>
      </c>
      <c r="F985" s="5">
        <v>1207</v>
      </c>
      <c r="G985" s="5">
        <v>2036</v>
      </c>
      <c r="H985" s="5">
        <v>425</v>
      </c>
      <c r="I985" s="5" t="s">
        <v>13</v>
      </c>
      <c r="J985" s="5" t="s">
        <v>48</v>
      </c>
      <c r="K985" s="17" t="s">
        <v>48</v>
      </c>
      <c r="L985" s="5">
        <v>70.34</v>
      </c>
      <c r="M985" s="5" t="s">
        <v>48</v>
      </c>
      <c r="N985" s="5" t="s">
        <v>48</v>
      </c>
      <c r="O985" s="5">
        <v>7884</v>
      </c>
      <c r="P985" s="5"/>
      <c r="Q985" s="5"/>
      <c r="R985" s="5">
        <v>1</v>
      </c>
      <c r="S985" s="5" t="s">
        <v>48</v>
      </c>
      <c r="T985" s="5" t="s">
        <v>48</v>
      </c>
      <c r="U985" s="5" t="s">
        <v>48</v>
      </c>
      <c r="V985" s="5">
        <v>1.5</v>
      </c>
      <c r="W985" s="5" t="s">
        <v>10</v>
      </c>
      <c r="X985" s="5" t="s">
        <v>48</v>
      </c>
      <c r="Y985" s="5" t="s">
        <v>48</v>
      </c>
      <c r="Z985" s="5" t="s">
        <v>48</v>
      </c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</row>
    <row r="986" spans="1:240" ht="30" customHeight="1">
      <c r="A986" s="5">
        <v>984</v>
      </c>
      <c r="B986" s="5"/>
      <c r="C986" s="5"/>
      <c r="D986" s="5" t="s">
        <v>68</v>
      </c>
      <c r="E986" s="5">
        <v>914</v>
      </c>
      <c r="F986" s="5">
        <v>1207</v>
      </c>
      <c r="G986" s="5">
        <v>2036</v>
      </c>
      <c r="H986" s="5">
        <v>435</v>
      </c>
      <c r="I986" s="5" t="s">
        <v>13</v>
      </c>
      <c r="J986" s="5" t="s">
        <v>48</v>
      </c>
      <c r="K986" s="17" t="s">
        <v>48</v>
      </c>
      <c r="L986" s="5">
        <v>87.92</v>
      </c>
      <c r="M986" s="5" t="s">
        <v>48</v>
      </c>
      <c r="N986" s="5" t="s">
        <v>48</v>
      </c>
      <c r="O986" s="5">
        <v>9000</v>
      </c>
      <c r="P986" s="5"/>
      <c r="Q986" s="5"/>
      <c r="R986" s="5">
        <v>1</v>
      </c>
      <c r="S986" s="5" t="s">
        <v>48</v>
      </c>
      <c r="T986" s="5" t="s">
        <v>48</v>
      </c>
      <c r="U986" s="5" t="s">
        <v>48</v>
      </c>
      <c r="V986" s="5">
        <v>2.2000000000000002</v>
      </c>
      <c r="W986" s="5" t="s">
        <v>10</v>
      </c>
      <c r="X986" s="5" t="s">
        <v>48</v>
      </c>
      <c r="Y986" s="5" t="s">
        <v>48</v>
      </c>
      <c r="Z986" s="5" t="s">
        <v>48</v>
      </c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</row>
    <row r="987" spans="1:240" ht="30" customHeight="1">
      <c r="A987" s="5">
        <v>985</v>
      </c>
      <c r="B987" s="5"/>
      <c r="C987" s="5"/>
      <c r="D987" s="5" t="s">
        <v>68</v>
      </c>
      <c r="E987" s="5">
        <v>1829</v>
      </c>
      <c r="F987" s="5">
        <v>1207</v>
      </c>
      <c r="G987" s="5">
        <v>2036</v>
      </c>
      <c r="H987" s="5">
        <v>655</v>
      </c>
      <c r="I987" s="5" t="s">
        <v>13</v>
      </c>
      <c r="J987" s="5" t="s">
        <v>48</v>
      </c>
      <c r="K987" s="17" t="s">
        <v>48</v>
      </c>
      <c r="L987" s="5">
        <v>105.51</v>
      </c>
      <c r="M987" s="5" t="s">
        <v>48</v>
      </c>
      <c r="N987" s="5" t="s">
        <v>48</v>
      </c>
      <c r="O987" s="5">
        <v>13464</v>
      </c>
      <c r="P987" s="5"/>
      <c r="Q987" s="5"/>
      <c r="R987" s="5">
        <v>1</v>
      </c>
      <c r="S987" s="5" t="s">
        <v>48</v>
      </c>
      <c r="T987" s="5" t="s">
        <v>48</v>
      </c>
      <c r="U987" s="5" t="s">
        <v>48</v>
      </c>
      <c r="V987" s="5">
        <v>1.5</v>
      </c>
      <c r="W987" s="5" t="s">
        <v>10</v>
      </c>
      <c r="X987" s="5" t="s">
        <v>48</v>
      </c>
      <c r="Y987" s="5" t="s">
        <v>48</v>
      </c>
      <c r="Z987" s="5" t="s">
        <v>48</v>
      </c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</row>
    <row r="988" spans="1:240" ht="30" customHeight="1">
      <c r="A988" s="5">
        <v>986</v>
      </c>
      <c r="B988" s="5"/>
      <c r="C988" s="5"/>
      <c r="D988" s="5" t="s">
        <v>68</v>
      </c>
      <c r="E988" s="5">
        <v>1829</v>
      </c>
      <c r="F988" s="5">
        <v>1207</v>
      </c>
      <c r="G988" s="5">
        <v>2036</v>
      </c>
      <c r="H988" s="5">
        <v>685</v>
      </c>
      <c r="I988" s="5" t="s">
        <v>13</v>
      </c>
      <c r="J988" s="5" t="s">
        <v>48</v>
      </c>
      <c r="K988" s="17" t="s">
        <v>48</v>
      </c>
      <c r="L988" s="5">
        <v>140.66999999999999</v>
      </c>
      <c r="M988" s="5" t="s">
        <v>48</v>
      </c>
      <c r="N988" s="5" t="s">
        <v>48</v>
      </c>
      <c r="O988" s="5">
        <v>16128</v>
      </c>
      <c r="P988" s="5"/>
      <c r="Q988" s="5"/>
      <c r="R988" s="5">
        <v>1</v>
      </c>
      <c r="S988" s="5" t="s">
        <v>48</v>
      </c>
      <c r="T988" s="5" t="s">
        <v>48</v>
      </c>
      <c r="U988" s="5" t="s">
        <v>48</v>
      </c>
      <c r="V988" s="5">
        <v>2.2000000000000002</v>
      </c>
      <c r="W988" s="5" t="s">
        <v>10</v>
      </c>
      <c r="X988" s="5" t="s">
        <v>48</v>
      </c>
      <c r="Y988" s="5" t="s">
        <v>48</v>
      </c>
      <c r="Z988" s="5" t="s">
        <v>48</v>
      </c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</row>
    <row r="989" spans="1:240" ht="30" customHeight="1">
      <c r="A989" s="5">
        <v>987</v>
      </c>
      <c r="B989" s="5"/>
      <c r="C989" s="5"/>
      <c r="D989" s="5" t="s">
        <v>68</v>
      </c>
      <c r="E989" s="5">
        <v>1829</v>
      </c>
      <c r="F989" s="5">
        <v>1207</v>
      </c>
      <c r="G989" s="5">
        <v>2036</v>
      </c>
      <c r="H989" s="5">
        <v>695</v>
      </c>
      <c r="I989" s="5" t="s">
        <v>13</v>
      </c>
      <c r="J989" s="5" t="s">
        <v>48</v>
      </c>
      <c r="K989" s="17" t="s">
        <v>48</v>
      </c>
      <c r="L989" s="5">
        <v>158.26</v>
      </c>
      <c r="M989" s="5" t="s">
        <v>48</v>
      </c>
      <c r="N989" s="5" t="s">
        <v>48</v>
      </c>
      <c r="O989" s="5">
        <v>17892</v>
      </c>
      <c r="P989" s="5"/>
      <c r="Q989" s="5"/>
      <c r="R989" s="5">
        <v>1</v>
      </c>
      <c r="S989" s="5" t="s">
        <v>48</v>
      </c>
      <c r="T989" s="5" t="s">
        <v>48</v>
      </c>
      <c r="U989" s="5" t="s">
        <v>48</v>
      </c>
      <c r="V989" s="5">
        <v>4</v>
      </c>
      <c r="W989" s="5" t="s">
        <v>10</v>
      </c>
      <c r="X989" s="5" t="s">
        <v>48</v>
      </c>
      <c r="Y989" s="5" t="s">
        <v>48</v>
      </c>
      <c r="Z989" s="5" t="s">
        <v>48</v>
      </c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</row>
    <row r="990" spans="1:240" ht="30" customHeight="1">
      <c r="A990" s="5">
        <v>988</v>
      </c>
      <c r="B990" s="5"/>
      <c r="C990" s="5"/>
      <c r="D990" s="5" t="s">
        <v>68</v>
      </c>
      <c r="E990" s="5">
        <v>1829</v>
      </c>
      <c r="F990" s="5">
        <v>1207</v>
      </c>
      <c r="G990" s="5">
        <v>2506</v>
      </c>
      <c r="H990" s="5">
        <v>780</v>
      </c>
      <c r="I990" s="5" t="s">
        <v>13</v>
      </c>
      <c r="J990" s="5" t="s">
        <v>48</v>
      </c>
      <c r="K990" s="17" t="s">
        <v>48</v>
      </c>
      <c r="L990" s="5">
        <v>193.43</v>
      </c>
      <c r="M990" s="5" t="s">
        <v>48</v>
      </c>
      <c r="N990" s="5" t="s">
        <v>48</v>
      </c>
      <c r="O990" s="5">
        <v>18576</v>
      </c>
      <c r="P990" s="5"/>
      <c r="Q990" s="5"/>
      <c r="R990" s="5">
        <v>1</v>
      </c>
      <c r="S990" s="5" t="s">
        <v>48</v>
      </c>
      <c r="T990" s="5" t="s">
        <v>48</v>
      </c>
      <c r="U990" s="5" t="s">
        <v>48</v>
      </c>
      <c r="V990" s="5">
        <v>5.5</v>
      </c>
      <c r="W990" s="5" t="s">
        <v>10</v>
      </c>
      <c r="X990" s="5" t="s">
        <v>48</v>
      </c>
      <c r="Y990" s="5" t="s">
        <v>48</v>
      </c>
      <c r="Z990" s="5" t="s">
        <v>48</v>
      </c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</row>
    <row r="991" spans="1:240" ht="30" customHeight="1">
      <c r="A991" s="5">
        <v>989</v>
      </c>
      <c r="B991" s="5"/>
      <c r="C991" s="5"/>
      <c r="D991" s="5" t="s">
        <v>68</v>
      </c>
      <c r="E991" s="5">
        <v>2737</v>
      </c>
      <c r="F991" s="5">
        <v>1207</v>
      </c>
      <c r="G991" s="5">
        <v>2036</v>
      </c>
      <c r="H991" s="5">
        <v>1050</v>
      </c>
      <c r="I991" s="5" t="s">
        <v>13</v>
      </c>
      <c r="J991" s="5" t="s">
        <v>48</v>
      </c>
      <c r="K991" s="17" t="s">
        <v>48</v>
      </c>
      <c r="L991" s="5">
        <v>228.6</v>
      </c>
      <c r="M991" s="5" t="s">
        <v>48</v>
      </c>
      <c r="N991" s="5" t="s">
        <v>48</v>
      </c>
      <c r="O991" s="5">
        <v>25992</v>
      </c>
      <c r="P991" s="5"/>
      <c r="Q991" s="5"/>
      <c r="R991" s="5">
        <v>1</v>
      </c>
      <c r="S991" s="5" t="s">
        <v>48</v>
      </c>
      <c r="T991" s="5" t="s">
        <v>48</v>
      </c>
      <c r="U991" s="5" t="s">
        <v>48</v>
      </c>
      <c r="V991" s="5">
        <v>5.5</v>
      </c>
      <c r="W991" s="5" t="s">
        <v>10</v>
      </c>
      <c r="X991" s="5" t="s">
        <v>48</v>
      </c>
      <c r="Y991" s="5" t="s">
        <v>48</v>
      </c>
      <c r="Z991" s="5" t="s">
        <v>48</v>
      </c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</row>
    <row r="992" spans="1:240" ht="30" customHeight="1">
      <c r="A992" s="5">
        <v>990</v>
      </c>
      <c r="B992" s="5"/>
      <c r="C992" s="5"/>
      <c r="D992" s="5" t="s">
        <v>68</v>
      </c>
      <c r="E992" s="5">
        <v>2737</v>
      </c>
      <c r="F992" s="5">
        <v>1207</v>
      </c>
      <c r="G992" s="14">
        <v>2220</v>
      </c>
      <c r="H992" s="5">
        <v>1075</v>
      </c>
      <c r="I992" s="5" t="s">
        <v>13</v>
      </c>
      <c r="J992" s="5" t="s">
        <v>48</v>
      </c>
      <c r="K992" s="17" t="s">
        <v>48</v>
      </c>
      <c r="L992" s="5">
        <v>246.18</v>
      </c>
      <c r="M992" s="5" t="s">
        <v>48</v>
      </c>
      <c r="N992" s="5" t="s">
        <v>48</v>
      </c>
      <c r="O992" s="5">
        <v>29232</v>
      </c>
      <c r="P992" s="5"/>
      <c r="Q992" s="5"/>
      <c r="R992" s="5">
        <v>1</v>
      </c>
      <c r="S992" s="5" t="s">
        <v>48</v>
      </c>
      <c r="T992" s="5" t="s">
        <v>48</v>
      </c>
      <c r="U992" s="5" t="s">
        <v>48</v>
      </c>
      <c r="V992" s="5">
        <v>5.5</v>
      </c>
      <c r="W992" s="5" t="s">
        <v>10</v>
      </c>
      <c r="X992" s="5" t="s">
        <v>48</v>
      </c>
      <c r="Y992" s="5" t="s">
        <v>48</v>
      </c>
      <c r="Z992" s="5" t="s">
        <v>48</v>
      </c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</row>
    <row r="993" spans="1:240" ht="30" customHeight="1">
      <c r="A993" s="5">
        <v>991</v>
      </c>
      <c r="B993" s="5"/>
      <c r="C993" s="5"/>
      <c r="D993" s="5" t="s">
        <v>68</v>
      </c>
      <c r="E993" s="5">
        <v>2737</v>
      </c>
      <c r="F993" s="5">
        <v>1207</v>
      </c>
      <c r="G993" s="5">
        <v>2506</v>
      </c>
      <c r="H993" s="5">
        <v>1135</v>
      </c>
      <c r="I993" s="5" t="s">
        <v>13</v>
      </c>
      <c r="J993" s="5" t="s">
        <v>48</v>
      </c>
      <c r="K993" s="17" t="s">
        <v>48</v>
      </c>
      <c r="L993" s="5">
        <v>263.76</v>
      </c>
      <c r="M993" s="5" t="s">
        <v>48</v>
      </c>
      <c r="N993" s="5" t="s">
        <v>48</v>
      </c>
      <c r="O993" s="5">
        <v>28872</v>
      </c>
      <c r="P993" s="5"/>
      <c r="Q993" s="5"/>
      <c r="R993" s="5">
        <v>1</v>
      </c>
      <c r="S993" s="5" t="s">
        <v>48</v>
      </c>
      <c r="T993" s="5" t="s">
        <v>48</v>
      </c>
      <c r="U993" s="5" t="s">
        <v>48</v>
      </c>
      <c r="V993" s="5">
        <v>5.5</v>
      </c>
      <c r="W993" s="5" t="s">
        <v>10</v>
      </c>
      <c r="X993" s="5" t="s">
        <v>48</v>
      </c>
      <c r="Y993" s="5" t="s">
        <v>48</v>
      </c>
      <c r="Z993" s="5" t="s">
        <v>48</v>
      </c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</row>
    <row r="994" spans="1:240" ht="30" customHeight="1">
      <c r="A994" s="5">
        <v>992</v>
      </c>
      <c r="B994" s="5"/>
      <c r="C994" s="5"/>
      <c r="D994" s="5" t="s">
        <v>68</v>
      </c>
      <c r="E994" s="5">
        <v>2737</v>
      </c>
      <c r="F994" s="5">
        <v>1207</v>
      </c>
      <c r="G994" s="5">
        <v>2506</v>
      </c>
      <c r="H994" s="5">
        <v>1140</v>
      </c>
      <c r="I994" s="5" t="s">
        <v>13</v>
      </c>
      <c r="J994" s="5" t="s">
        <v>48</v>
      </c>
      <c r="K994" s="17" t="s">
        <v>48</v>
      </c>
      <c r="L994" s="5">
        <v>298.93</v>
      </c>
      <c r="M994" s="5" t="s">
        <v>48</v>
      </c>
      <c r="N994" s="5" t="s">
        <v>48</v>
      </c>
      <c r="O994" s="5">
        <v>31788</v>
      </c>
      <c r="P994" s="5"/>
      <c r="Q994" s="5"/>
      <c r="R994" s="5">
        <v>1</v>
      </c>
      <c r="S994" s="5" t="s">
        <v>48</v>
      </c>
      <c r="T994" s="5" t="s">
        <v>48</v>
      </c>
      <c r="U994" s="5" t="s">
        <v>48</v>
      </c>
      <c r="V994" s="5">
        <v>7.5</v>
      </c>
      <c r="W994" s="5" t="s">
        <v>10</v>
      </c>
      <c r="X994" s="5" t="s">
        <v>48</v>
      </c>
      <c r="Y994" s="5" t="s">
        <v>48</v>
      </c>
      <c r="Z994" s="5" t="s">
        <v>48</v>
      </c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</row>
    <row r="995" spans="1:240" ht="30" customHeight="1">
      <c r="A995" s="5">
        <v>993</v>
      </c>
      <c r="B995" s="5"/>
      <c r="C995" s="5"/>
      <c r="D995" s="5" t="s">
        <v>68</v>
      </c>
      <c r="E995" s="5">
        <v>3658</v>
      </c>
      <c r="F995" s="5">
        <v>1207</v>
      </c>
      <c r="G995" s="5">
        <v>2036</v>
      </c>
      <c r="H995" s="5">
        <v>1255</v>
      </c>
      <c r="I995" s="5" t="s">
        <v>13</v>
      </c>
      <c r="J995" s="5" t="s">
        <v>48</v>
      </c>
      <c r="K995" s="17" t="s">
        <v>48</v>
      </c>
      <c r="L995" s="5">
        <v>334.1</v>
      </c>
      <c r="M995" s="5" t="s">
        <v>48</v>
      </c>
      <c r="N995" s="5" t="s">
        <v>48</v>
      </c>
      <c r="O995" s="5">
        <v>39744</v>
      </c>
      <c r="P995" s="5"/>
      <c r="Q995" s="5"/>
      <c r="R995" s="5">
        <v>1</v>
      </c>
      <c r="S995" s="5" t="s">
        <v>48</v>
      </c>
      <c r="T995" s="5" t="s">
        <v>48</v>
      </c>
      <c r="U995" s="5" t="s">
        <v>48</v>
      </c>
      <c r="V995" s="5">
        <v>7.5</v>
      </c>
      <c r="W995" s="5" t="s">
        <v>10</v>
      </c>
      <c r="X995" s="5" t="s">
        <v>48</v>
      </c>
      <c r="Y995" s="5" t="s">
        <v>48</v>
      </c>
      <c r="Z995" s="5" t="s">
        <v>48</v>
      </c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</row>
    <row r="996" spans="1:240" ht="30" customHeight="1">
      <c r="A996" s="5">
        <v>994</v>
      </c>
      <c r="B996" s="5"/>
      <c r="C996" s="5"/>
      <c r="D996" s="5" t="s">
        <v>68</v>
      </c>
      <c r="E996" s="5">
        <v>3658</v>
      </c>
      <c r="F996" s="5">
        <v>1207</v>
      </c>
      <c r="G996" s="5">
        <v>2675</v>
      </c>
      <c r="H996" s="5">
        <v>1445</v>
      </c>
      <c r="I996" s="5" t="s">
        <v>13</v>
      </c>
      <c r="J996" s="5" t="s">
        <v>48</v>
      </c>
      <c r="K996" s="17" t="s">
        <v>48</v>
      </c>
      <c r="L996" s="5">
        <v>369.27</v>
      </c>
      <c r="M996" s="5" t="s">
        <v>48</v>
      </c>
      <c r="N996" s="5" t="s">
        <v>48</v>
      </c>
      <c r="O996" s="5">
        <v>39240</v>
      </c>
      <c r="P996" s="5"/>
      <c r="Q996" s="5"/>
      <c r="R996" s="5">
        <v>1</v>
      </c>
      <c r="S996" s="5" t="s">
        <v>48</v>
      </c>
      <c r="T996" s="5" t="s">
        <v>48</v>
      </c>
      <c r="U996" s="5" t="s">
        <v>48</v>
      </c>
      <c r="V996" s="5">
        <v>7.5</v>
      </c>
      <c r="W996" s="5" t="s">
        <v>10</v>
      </c>
      <c r="X996" s="5" t="s">
        <v>48</v>
      </c>
      <c r="Y996" s="5" t="s">
        <v>48</v>
      </c>
      <c r="Z996" s="5" t="s">
        <v>48</v>
      </c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</row>
    <row r="997" spans="1:240" ht="30" customHeight="1">
      <c r="A997" s="5">
        <v>995</v>
      </c>
      <c r="B997" s="5"/>
      <c r="C997" s="5"/>
      <c r="D997" s="5" t="s">
        <v>68</v>
      </c>
      <c r="E997" s="5">
        <v>3658</v>
      </c>
      <c r="F997" s="5">
        <v>1207</v>
      </c>
      <c r="G997" s="5">
        <v>2675</v>
      </c>
      <c r="H997" s="5">
        <v>1475</v>
      </c>
      <c r="I997" s="5" t="s">
        <v>13</v>
      </c>
      <c r="J997" s="5" t="s">
        <v>48</v>
      </c>
      <c r="K997" s="17" t="s">
        <v>48</v>
      </c>
      <c r="L997" s="5">
        <v>422.02</v>
      </c>
      <c r="M997" s="5" t="s">
        <v>48</v>
      </c>
      <c r="N997" s="5" t="s">
        <v>48</v>
      </c>
      <c r="O997" s="5">
        <v>45288</v>
      </c>
      <c r="P997" s="5"/>
      <c r="Q997" s="5"/>
      <c r="R997" s="5">
        <v>1</v>
      </c>
      <c r="S997" s="5" t="s">
        <v>48</v>
      </c>
      <c r="T997" s="5" t="s">
        <v>48</v>
      </c>
      <c r="U997" s="5" t="s">
        <v>48</v>
      </c>
      <c r="V997" s="5">
        <v>11</v>
      </c>
      <c r="W997" s="5" t="s">
        <v>10</v>
      </c>
      <c r="X997" s="5" t="s">
        <v>48</v>
      </c>
      <c r="Y997" s="5" t="s">
        <v>48</v>
      </c>
      <c r="Z997" s="5" t="s">
        <v>48</v>
      </c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</row>
    <row r="998" spans="1:240" ht="30" customHeight="1">
      <c r="A998" s="5">
        <v>996</v>
      </c>
      <c r="B998" s="5"/>
      <c r="C998" s="5"/>
      <c r="D998" s="5" t="s">
        <v>68</v>
      </c>
      <c r="E998" s="5">
        <v>3658</v>
      </c>
      <c r="F998" s="5">
        <v>1207</v>
      </c>
      <c r="G998" s="5">
        <v>3350</v>
      </c>
      <c r="H998" s="5">
        <v>1665</v>
      </c>
      <c r="I998" s="5" t="s">
        <v>13</v>
      </c>
      <c r="J998" s="5" t="s">
        <v>48</v>
      </c>
      <c r="K998" s="17" t="s">
        <v>48</v>
      </c>
      <c r="L998" s="5">
        <v>474.78</v>
      </c>
      <c r="M998" s="5" t="s">
        <v>48</v>
      </c>
      <c r="N998" s="5" t="s">
        <v>48</v>
      </c>
      <c r="O998" s="5">
        <v>44856</v>
      </c>
      <c r="P998" s="5"/>
      <c r="Q998" s="5"/>
      <c r="R998" s="5">
        <v>1</v>
      </c>
      <c r="S998" s="5" t="s">
        <v>48</v>
      </c>
      <c r="T998" s="5" t="s">
        <v>48</v>
      </c>
      <c r="U998" s="5" t="s">
        <v>48</v>
      </c>
      <c r="V998" s="5">
        <v>11</v>
      </c>
      <c r="W998" s="5" t="s">
        <v>10</v>
      </c>
      <c r="X998" s="5" t="s">
        <v>48</v>
      </c>
      <c r="Y998" s="5" t="s">
        <v>48</v>
      </c>
      <c r="Z998" s="5" t="s">
        <v>48</v>
      </c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</row>
    <row r="999" spans="1:240" ht="30" customHeight="1">
      <c r="A999" s="5">
        <v>997</v>
      </c>
      <c r="B999" s="5"/>
      <c r="C999" s="5"/>
      <c r="D999" s="5" t="s">
        <v>68</v>
      </c>
      <c r="E999" s="5">
        <v>4240</v>
      </c>
      <c r="F999" s="5">
        <v>4970</v>
      </c>
      <c r="G999" s="5">
        <v>7330</v>
      </c>
      <c r="H999" s="17">
        <f>32890*0.454</f>
        <v>14932.060000000001</v>
      </c>
      <c r="I999" s="5" t="s">
        <v>13</v>
      </c>
      <c r="J999" s="5">
        <v>397.24</v>
      </c>
      <c r="K999" s="15">
        <v>6.95</v>
      </c>
      <c r="L999" s="5">
        <v>3210.2</v>
      </c>
      <c r="M999" s="5">
        <v>5.77</v>
      </c>
      <c r="N999" s="5">
        <v>33.799999999999997</v>
      </c>
      <c r="O999" s="5">
        <v>253152</v>
      </c>
      <c r="P999" s="5">
        <v>7000</v>
      </c>
      <c r="Q999" s="5"/>
      <c r="R999" s="5">
        <v>1</v>
      </c>
      <c r="S999" s="5" t="s">
        <v>48</v>
      </c>
      <c r="T999" s="5" t="s">
        <v>48</v>
      </c>
      <c r="U999" s="5" t="s">
        <v>48</v>
      </c>
      <c r="V999" s="5">
        <v>18.64</v>
      </c>
      <c r="W999" s="5" t="s">
        <v>48</v>
      </c>
      <c r="X999" s="5" t="s">
        <v>48</v>
      </c>
      <c r="Y999" s="5" t="s">
        <v>48</v>
      </c>
      <c r="Z999" s="5" t="s">
        <v>48</v>
      </c>
      <c r="AA999" s="5"/>
      <c r="AB999" s="5"/>
      <c r="AC999" s="5"/>
      <c r="AD999" s="5"/>
      <c r="AE999" s="5"/>
      <c r="AF999" s="5"/>
      <c r="AG999" s="5"/>
      <c r="AH999" s="16">
        <v>60000</v>
      </c>
      <c r="AI999" s="5"/>
      <c r="AJ999" s="5"/>
      <c r="AK999" s="5"/>
      <c r="AL999" s="5"/>
      <c r="AM999" s="16">
        <v>60000</v>
      </c>
      <c r="AN999" s="5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</row>
    <row r="1000" spans="1:240" ht="30" customHeight="1">
      <c r="A1000" s="5">
        <v>998</v>
      </c>
      <c r="B1000" s="5"/>
      <c r="C1000" s="5"/>
      <c r="D1000" s="5" t="s">
        <v>68</v>
      </c>
      <c r="E1000" s="5">
        <v>800</v>
      </c>
      <c r="F1000" s="5">
        <v>800</v>
      </c>
      <c r="G1000" s="5">
        <v>2110</v>
      </c>
      <c r="H1000" s="5">
        <v>75</v>
      </c>
      <c r="I1000" s="5" t="s">
        <v>13</v>
      </c>
      <c r="J1000" s="5">
        <v>7.1</v>
      </c>
      <c r="K1000" s="17">
        <v>6</v>
      </c>
      <c r="L1000" s="5">
        <v>49.53</v>
      </c>
      <c r="M1000" s="5" t="s">
        <v>48</v>
      </c>
      <c r="N1000" s="5">
        <v>42</v>
      </c>
      <c r="O1000" s="5">
        <v>4300</v>
      </c>
      <c r="P1000" s="5"/>
      <c r="Q1000" s="5"/>
      <c r="R1000" s="5">
        <v>1</v>
      </c>
      <c r="S1000" s="5" t="s">
        <v>48</v>
      </c>
      <c r="T1000" s="5" t="s">
        <v>48</v>
      </c>
      <c r="U1000" s="5" t="s">
        <v>48</v>
      </c>
      <c r="V1000" s="5">
        <v>0.55000000000000004</v>
      </c>
      <c r="W1000" s="5" t="s">
        <v>47</v>
      </c>
      <c r="X1000" s="5">
        <v>52</v>
      </c>
      <c r="Y1000" s="5" t="s">
        <v>48</v>
      </c>
      <c r="Z1000" s="5" t="s">
        <v>48</v>
      </c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</row>
    <row r="1001" spans="1:240" ht="30" customHeight="1">
      <c r="A1001" s="5">
        <v>999</v>
      </c>
      <c r="B1001" s="5"/>
      <c r="C1001" s="5"/>
      <c r="D1001" s="5" t="s">
        <v>68</v>
      </c>
      <c r="E1001" s="5">
        <v>800</v>
      </c>
      <c r="F1001" s="5">
        <v>800</v>
      </c>
      <c r="G1001" s="5">
        <v>2110</v>
      </c>
      <c r="H1001" s="5">
        <v>75</v>
      </c>
      <c r="I1001" s="5" t="s">
        <v>13</v>
      </c>
      <c r="J1001" s="5">
        <v>9.9</v>
      </c>
      <c r="K1001" s="17">
        <v>6</v>
      </c>
      <c r="L1001" s="5">
        <v>69.06</v>
      </c>
      <c r="M1001" s="5" t="s">
        <v>48</v>
      </c>
      <c r="N1001" s="5">
        <v>32</v>
      </c>
      <c r="O1001" s="5">
        <v>7100</v>
      </c>
      <c r="P1001" s="5"/>
      <c r="Q1001" s="5"/>
      <c r="R1001" s="5">
        <v>1</v>
      </c>
      <c r="S1001" s="5" t="s">
        <v>48</v>
      </c>
      <c r="T1001" s="5" t="s">
        <v>48</v>
      </c>
      <c r="U1001" s="5" t="s">
        <v>48</v>
      </c>
      <c r="V1001" s="5">
        <v>0.75</v>
      </c>
      <c r="W1001" s="5" t="s">
        <v>47</v>
      </c>
      <c r="X1001" s="5">
        <v>52</v>
      </c>
      <c r="Y1001" s="5" t="s">
        <v>48</v>
      </c>
      <c r="Z1001" s="5" t="s">
        <v>48</v>
      </c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  <c r="BY1001" s="8"/>
      <c r="BZ1001" s="8"/>
      <c r="CA1001" s="8"/>
      <c r="CB1001" s="8"/>
      <c r="CC1001" s="8"/>
      <c r="CD1001" s="8"/>
      <c r="CE1001" s="8"/>
      <c r="CF1001" s="8"/>
      <c r="CG1001" s="8"/>
      <c r="CH1001" s="8"/>
      <c r="CI1001" s="8"/>
      <c r="CJ1001" s="8"/>
      <c r="CK1001" s="8"/>
      <c r="CL1001" s="8"/>
      <c r="CM1001" s="8"/>
      <c r="CN1001" s="8"/>
      <c r="CO1001" s="8"/>
      <c r="CP1001" s="8"/>
      <c r="CQ1001" s="8"/>
      <c r="CR1001" s="8"/>
      <c r="CS1001" s="8"/>
      <c r="CT1001" s="8"/>
      <c r="CU1001" s="8"/>
      <c r="CV1001" s="8"/>
      <c r="CW1001" s="8"/>
      <c r="CX1001" s="8"/>
      <c r="CY1001" s="8"/>
      <c r="CZ1001" s="8"/>
      <c r="DA1001" s="8"/>
      <c r="DB1001" s="8"/>
      <c r="DC1001" s="8"/>
      <c r="DD1001" s="8"/>
      <c r="DE1001" s="8"/>
      <c r="DF1001" s="8"/>
      <c r="DG1001" s="8"/>
      <c r="DH1001" s="8"/>
      <c r="DI1001" s="8"/>
      <c r="DJ1001" s="8"/>
      <c r="DK1001" s="8"/>
      <c r="DL1001" s="8"/>
      <c r="DM1001" s="8"/>
      <c r="DN1001" s="8"/>
      <c r="DO1001" s="8"/>
      <c r="DP1001" s="8"/>
      <c r="DQ1001" s="8"/>
      <c r="DR1001" s="8"/>
      <c r="DS1001" s="8"/>
      <c r="DT1001" s="8"/>
      <c r="DU1001" s="8"/>
      <c r="DV1001" s="8"/>
      <c r="DW1001" s="8"/>
      <c r="DX1001" s="8"/>
      <c r="DY1001" s="8"/>
      <c r="DZ1001" s="8"/>
      <c r="EA1001" s="8"/>
      <c r="EB1001" s="8"/>
      <c r="EC1001" s="8"/>
      <c r="ED1001" s="8"/>
      <c r="EE1001" s="8"/>
      <c r="EF1001" s="8"/>
      <c r="EG1001" s="8"/>
      <c r="EH1001" s="8"/>
      <c r="EI1001" s="8"/>
      <c r="EJ1001" s="8"/>
      <c r="EK1001" s="8"/>
      <c r="EL1001" s="8"/>
      <c r="EM1001" s="8"/>
      <c r="EN1001" s="8"/>
      <c r="EO1001" s="8"/>
      <c r="EP1001" s="8"/>
      <c r="EQ1001" s="8"/>
      <c r="ER1001" s="8"/>
      <c r="ES1001" s="8"/>
      <c r="ET1001" s="8"/>
      <c r="EU1001" s="8"/>
      <c r="EV1001" s="8"/>
      <c r="EW1001" s="8"/>
      <c r="EX1001" s="8"/>
      <c r="EY1001" s="8"/>
      <c r="EZ1001" s="8"/>
      <c r="FA1001" s="8"/>
      <c r="FB1001" s="8"/>
      <c r="FC1001" s="8"/>
      <c r="FD1001" s="8"/>
      <c r="FE1001" s="8"/>
      <c r="FF1001" s="8"/>
      <c r="FG1001" s="8"/>
      <c r="FH1001" s="8"/>
      <c r="FI1001" s="8"/>
      <c r="FJ1001" s="8"/>
      <c r="FK1001" s="8"/>
      <c r="FL1001" s="8"/>
      <c r="FM1001" s="8"/>
      <c r="FN1001" s="8"/>
      <c r="FO1001" s="8"/>
      <c r="FP1001" s="8"/>
      <c r="FQ1001" s="8"/>
      <c r="FR1001" s="8"/>
      <c r="FS1001" s="8"/>
      <c r="FT1001" s="8"/>
      <c r="FU1001" s="8"/>
      <c r="FV1001" s="8"/>
      <c r="FW1001" s="8"/>
      <c r="FX1001" s="8"/>
      <c r="FY1001" s="8"/>
      <c r="FZ1001" s="8"/>
      <c r="GA1001" s="8"/>
      <c r="GB1001" s="8"/>
      <c r="GC1001" s="8"/>
      <c r="GD1001" s="8"/>
      <c r="GE1001" s="8"/>
      <c r="GF1001" s="8"/>
      <c r="GG1001" s="8"/>
      <c r="GH1001" s="8"/>
      <c r="GI1001" s="8"/>
      <c r="GJ1001" s="8"/>
      <c r="GK1001" s="8"/>
      <c r="GL1001" s="8"/>
      <c r="GM1001" s="8"/>
      <c r="GN1001" s="8"/>
      <c r="GO1001" s="8"/>
      <c r="GP1001" s="8"/>
      <c r="GQ1001" s="8"/>
      <c r="GR1001" s="8"/>
      <c r="GS1001" s="8"/>
      <c r="GT1001" s="8"/>
      <c r="GU1001" s="8"/>
      <c r="GV1001" s="8"/>
      <c r="GW1001" s="8"/>
      <c r="GX1001" s="8"/>
      <c r="GY1001" s="8"/>
      <c r="GZ1001" s="8"/>
      <c r="HA1001" s="8"/>
      <c r="HB1001" s="8"/>
      <c r="HC1001" s="8"/>
      <c r="HD1001" s="8"/>
      <c r="HE1001" s="8"/>
      <c r="HF1001" s="8"/>
      <c r="HG1001" s="8"/>
      <c r="HH1001" s="8"/>
      <c r="HI1001" s="8"/>
      <c r="HJ1001" s="8"/>
      <c r="HK1001" s="8"/>
      <c r="HL1001" s="8"/>
      <c r="HM1001" s="8"/>
      <c r="HN1001" s="8"/>
      <c r="HO1001" s="8"/>
      <c r="HP1001" s="8"/>
      <c r="HQ1001" s="8"/>
      <c r="HR1001" s="8"/>
      <c r="HS1001" s="8"/>
      <c r="HT1001" s="8"/>
      <c r="HU1001" s="8"/>
      <c r="HV1001" s="8"/>
      <c r="HW1001" s="8"/>
      <c r="HX1001" s="8"/>
      <c r="HY1001" s="8"/>
      <c r="HZ1001" s="8"/>
      <c r="IA1001" s="8"/>
      <c r="IB1001" s="8"/>
      <c r="IC1001" s="8"/>
      <c r="ID1001" s="8"/>
      <c r="IE1001" s="8"/>
      <c r="IF1001" s="8"/>
    </row>
    <row r="1002" spans="1:240" ht="30" customHeight="1">
      <c r="A1002" s="5">
        <v>1000</v>
      </c>
      <c r="B1002" s="5"/>
      <c r="C1002" s="5"/>
      <c r="D1002" s="5" t="s">
        <v>68</v>
      </c>
      <c r="E1002" s="5">
        <v>1000</v>
      </c>
      <c r="F1002" s="5">
        <v>1000</v>
      </c>
      <c r="G1002" s="5">
        <v>2595</v>
      </c>
      <c r="H1002" s="5">
        <v>85</v>
      </c>
      <c r="I1002" s="5" t="s">
        <v>13</v>
      </c>
      <c r="J1002" s="5">
        <v>12.7</v>
      </c>
      <c r="K1002" s="17">
        <v>6</v>
      </c>
      <c r="L1002" s="5">
        <v>88.6</v>
      </c>
      <c r="M1002" s="5" t="s">
        <v>48</v>
      </c>
      <c r="N1002" s="5">
        <v>52</v>
      </c>
      <c r="O1002" s="5">
        <v>7100</v>
      </c>
      <c r="P1002" s="5"/>
      <c r="Q1002" s="5"/>
      <c r="R1002" s="5">
        <v>1</v>
      </c>
      <c r="S1002" s="5" t="s">
        <v>48</v>
      </c>
      <c r="T1002" s="5" t="s">
        <v>48</v>
      </c>
      <c r="U1002" s="5" t="s">
        <v>48</v>
      </c>
      <c r="V1002" s="5">
        <v>0.75</v>
      </c>
      <c r="W1002" s="5" t="s">
        <v>47</v>
      </c>
      <c r="X1002" s="5">
        <v>54</v>
      </c>
      <c r="Y1002" s="5" t="s">
        <v>48</v>
      </c>
      <c r="Z1002" s="5" t="s">
        <v>48</v>
      </c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  <c r="BY1002" s="8"/>
      <c r="BZ1002" s="8"/>
      <c r="CA1002" s="8"/>
      <c r="CB1002" s="8"/>
      <c r="CC1002" s="8"/>
      <c r="CD1002" s="8"/>
      <c r="CE1002" s="8"/>
      <c r="CF1002" s="8"/>
      <c r="CG1002" s="8"/>
      <c r="CH1002" s="8"/>
      <c r="CI1002" s="8"/>
      <c r="CJ1002" s="8"/>
      <c r="CK1002" s="8"/>
      <c r="CL1002" s="8"/>
      <c r="CM1002" s="8"/>
      <c r="CN1002" s="8"/>
      <c r="CO1002" s="8"/>
      <c r="CP1002" s="8"/>
      <c r="CQ1002" s="8"/>
      <c r="CR1002" s="8"/>
      <c r="CS1002" s="8"/>
      <c r="CT1002" s="8"/>
      <c r="CU1002" s="8"/>
      <c r="CV1002" s="8"/>
      <c r="CW1002" s="8"/>
      <c r="CX1002" s="8"/>
      <c r="CY1002" s="8"/>
      <c r="CZ1002" s="8"/>
      <c r="DA1002" s="8"/>
      <c r="DB1002" s="8"/>
      <c r="DC1002" s="8"/>
      <c r="DD1002" s="8"/>
      <c r="DE1002" s="8"/>
      <c r="DF1002" s="8"/>
      <c r="DG1002" s="8"/>
      <c r="DH1002" s="8"/>
      <c r="DI1002" s="8"/>
      <c r="DJ1002" s="8"/>
      <c r="DK1002" s="8"/>
      <c r="DL1002" s="8"/>
      <c r="DM1002" s="8"/>
      <c r="DN1002" s="8"/>
      <c r="DO1002" s="8"/>
      <c r="DP1002" s="8"/>
      <c r="DQ1002" s="8"/>
      <c r="DR1002" s="8"/>
      <c r="DS1002" s="8"/>
      <c r="DT1002" s="8"/>
      <c r="DU1002" s="8"/>
      <c r="DV1002" s="8"/>
      <c r="DW1002" s="8"/>
      <c r="DX1002" s="8"/>
      <c r="DY1002" s="8"/>
      <c r="DZ1002" s="8"/>
      <c r="EA1002" s="8"/>
      <c r="EB1002" s="8"/>
      <c r="EC1002" s="8"/>
      <c r="ED1002" s="8"/>
      <c r="EE1002" s="8"/>
      <c r="EF1002" s="8"/>
      <c r="EG1002" s="8"/>
      <c r="EH1002" s="8"/>
      <c r="EI1002" s="8"/>
      <c r="EJ1002" s="8"/>
      <c r="EK1002" s="8"/>
      <c r="EL1002" s="8"/>
      <c r="EM1002" s="8"/>
      <c r="EN1002" s="8"/>
      <c r="EO1002" s="8"/>
      <c r="EP1002" s="8"/>
      <c r="EQ1002" s="8"/>
      <c r="ER1002" s="8"/>
      <c r="ES1002" s="8"/>
      <c r="ET1002" s="8"/>
      <c r="EU1002" s="8"/>
      <c r="EV1002" s="8"/>
      <c r="EW1002" s="8"/>
      <c r="EX1002" s="8"/>
      <c r="EY1002" s="8"/>
      <c r="EZ1002" s="8"/>
      <c r="FA1002" s="8"/>
      <c r="FB1002" s="8"/>
      <c r="FC1002" s="8"/>
      <c r="FD1002" s="8"/>
      <c r="FE1002" s="8"/>
      <c r="FF1002" s="8"/>
      <c r="FG1002" s="8"/>
      <c r="FH1002" s="8"/>
      <c r="FI1002" s="8"/>
      <c r="FJ1002" s="8"/>
      <c r="FK1002" s="8"/>
      <c r="FL1002" s="8"/>
      <c r="FM1002" s="8"/>
      <c r="FN1002" s="8"/>
      <c r="FO1002" s="8"/>
      <c r="FP1002" s="8"/>
      <c r="FQ1002" s="8"/>
      <c r="FR1002" s="8"/>
      <c r="FS1002" s="8"/>
      <c r="FT1002" s="8"/>
      <c r="FU1002" s="8"/>
      <c r="FV1002" s="8"/>
      <c r="FW1002" s="8"/>
      <c r="FX1002" s="8"/>
      <c r="FY1002" s="8"/>
      <c r="FZ1002" s="8"/>
      <c r="GA1002" s="8"/>
      <c r="GB1002" s="8"/>
      <c r="GC1002" s="8"/>
      <c r="GD1002" s="8"/>
      <c r="GE1002" s="8"/>
      <c r="GF1002" s="8"/>
      <c r="GG1002" s="8"/>
      <c r="GH1002" s="8"/>
      <c r="GI1002" s="8"/>
      <c r="GJ1002" s="8"/>
      <c r="GK1002" s="8"/>
      <c r="GL1002" s="8"/>
      <c r="GM1002" s="8"/>
      <c r="GN1002" s="8"/>
      <c r="GO1002" s="8"/>
      <c r="GP1002" s="8"/>
      <c r="GQ1002" s="8"/>
      <c r="GR1002" s="8"/>
      <c r="GS1002" s="8"/>
      <c r="GT1002" s="8"/>
      <c r="GU1002" s="8"/>
      <c r="GV1002" s="8"/>
      <c r="GW1002" s="8"/>
      <c r="GX1002" s="8"/>
      <c r="GY1002" s="8"/>
      <c r="GZ1002" s="8"/>
      <c r="HA1002" s="8"/>
      <c r="HB1002" s="8"/>
      <c r="HC1002" s="8"/>
      <c r="HD1002" s="8"/>
      <c r="HE1002" s="8"/>
      <c r="HF1002" s="8"/>
      <c r="HG1002" s="8"/>
      <c r="HH1002" s="8"/>
      <c r="HI1002" s="8"/>
      <c r="HJ1002" s="8"/>
      <c r="HK1002" s="8"/>
      <c r="HL1002" s="8"/>
      <c r="HM1002" s="8"/>
      <c r="HN1002" s="8"/>
      <c r="HO1002" s="8"/>
      <c r="HP1002" s="8"/>
      <c r="HQ1002" s="8"/>
      <c r="HR1002" s="8"/>
      <c r="HS1002" s="8"/>
      <c r="HT1002" s="8"/>
      <c r="HU1002" s="8"/>
      <c r="HV1002" s="8"/>
      <c r="HW1002" s="8"/>
      <c r="HX1002" s="8"/>
      <c r="HY1002" s="8"/>
      <c r="HZ1002" s="8"/>
      <c r="IA1002" s="8"/>
      <c r="IB1002" s="8"/>
      <c r="IC1002" s="8"/>
      <c r="ID1002" s="8"/>
      <c r="IE1002" s="8"/>
      <c r="IF1002" s="8"/>
    </row>
    <row r="1003" spans="1:240" ht="30" customHeight="1">
      <c r="A1003" s="5">
        <v>1001</v>
      </c>
      <c r="B1003" s="5"/>
      <c r="C1003" s="5"/>
      <c r="D1003" s="5" t="s">
        <v>68</v>
      </c>
      <c r="E1003" s="5">
        <v>1000</v>
      </c>
      <c r="F1003" s="5">
        <v>1000</v>
      </c>
      <c r="G1003" s="5">
        <v>2595</v>
      </c>
      <c r="H1003" s="5">
        <v>95</v>
      </c>
      <c r="I1003" s="5" t="s">
        <v>13</v>
      </c>
      <c r="J1003" s="5">
        <v>15.4</v>
      </c>
      <c r="K1003" s="17">
        <v>6</v>
      </c>
      <c r="L1003" s="5">
        <v>107.44</v>
      </c>
      <c r="M1003" s="5" t="s">
        <v>48</v>
      </c>
      <c r="N1003" s="5">
        <v>32</v>
      </c>
      <c r="O1003" s="5">
        <v>7100</v>
      </c>
      <c r="P1003" s="5"/>
      <c r="Q1003" s="5"/>
      <c r="R1003" s="5">
        <v>1</v>
      </c>
      <c r="S1003" s="5" t="s">
        <v>48</v>
      </c>
      <c r="T1003" s="5" t="s">
        <v>48</v>
      </c>
      <c r="U1003" s="5" t="s">
        <v>48</v>
      </c>
      <c r="V1003" s="5">
        <v>0.75</v>
      </c>
      <c r="W1003" s="5" t="s">
        <v>47</v>
      </c>
      <c r="X1003" s="5">
        <v>54</v>
      </c>
      <c r="Y1003" s="5" t="s">
        <v>48</v>
      </c>
      <c r="Z1003" s="5" t="s">
        <v>48</v>
      </c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  <c r="BY1003" s="8"/>
      <c r="BZ1003" s="8"/>
      <c r="CA1003" s="8"/>
      <c r="CB1003" s="8"/>
      <c r="CC1003" s="8"/>
      <c r="CD1003" s="8"/>
      <c r="CE1003" s="8"/>
      <c r="CF1003" s="8"/>
      <c r="CG1003" s="8"/>
      <c r="CH1003" s="8"/>
      <c r="CI1003" s="8"/>
      <c r="CJ1003" s="8"/>
      <c r="CK1003" s="8"/>
      <c r="CL1003" s="8"/>
      <c r="CM1003" s="8"/>
      <c r="CN1003" s="8"/>
      <c r="CO1003" s="8"/>
      <c r="CP1003" s="8"/>
      <c r="CQ1003" s="8"/>
      <c r="CR1003" s="8"/>
      <c r="CS1003" s="8"/>
      <c r="CT1003" s="8"/>
      <c r="CU1003" s="8"/>
      <c r="CV1003" s="8"/>
      <c r="CW1003" s="8"/>
      <c r="CX1003" s="8"/>
      <c r="CY1003" s="8"/>
      <c r="CZ1003" s="8"/>
      <c r="DA1003" s="8"/>
      <c r="DB1003" s="8"/>
      <c r="DC1003" s="8"/>
      <c r="DD1003" s="8"/>
      <c r="DE1003" s="8"/>
      <c r="DF1003" s="8"/>
      <c r="DG1003" s="8"/>
      <c r="DH1003" s="8"/>
      <c r="DI1003" s="8"/>
      <c r="DJ1003" s="8"/>
      <c r="DK1003" s="8"/>
      <c r="DL1003" s="8"/>
      <c r="DM1003" s="8"/>
      <c r="DN1003" s="8"/>
      <c r="DO1003" s="8"/>
      <c r="DP1003" s="8"/>
      <c r="DQ1003" s="8"/>
      <c r="DR1003" s="8"/>
      <c r="DS1003" s="8"/>
      <c r="DT1003" s="8"/>
      <c r="DU1003" s="8"/>
      <c r="DV1003" s="8"/>
      <c r="DW1003" s="8"/>
      <c r="DX1003" s="8"/>
      <c r="DY1003" s="8"/>
      <c r="DZ1003" s="8"/>
      <c r="EA1003" s="8"/>
      <c r="EB1003" s="8"/>
      <c r="EC1003" s="8"/>
      <c r="ED1003" s="8"/>
      <c r="EE1003" s="8"/>
      <c r="EF1003" s="8"/>
      <c r="EG1003" s="8"/>
      <c r="EH1003" s="8"/>
      <c r="EI1003" s="8"/>
      <c r="EJ1003" s="8"/>
      <c r="EK1003" s="8"/>
      <c r="EL1003" s="8"/>
      <c r="EM1003" s="8"/>
      <c r="EN1003" s="8"/>
      <c r="EO1003" s="8"/>
      <c r="EP1003" s="8"/>
      <c r="EQ1003" s="8"/>
      <c r="ER1003" s="8"/>
      <c r="ES1003" s="8"/>
      <c r="ET1003" s="8"/>
      <c r="EU1003" s="8"/>
      <c r="EV1003" s="8"/>
      <c r="EW1003" s="8"/>
      <c r="EX1003" s="8"/>
      <c r="EY1003" s="8"/>
      <c r="EZ1003" s="8"/>
      <c r="FA1003" s="8"/>
      <c r="FB1003" s="8"/>
      <c r="FC1003" s="8"/>
      <c r="FD1003" s="8"/>
      <c r="FE1003" s="8"/>
      <c r="FF1003" s="8"/>
      <c r="FG1003" s="8"/>
      <c r="FH1003" s="8"/>
      <c r="FI1003" s="8"/>
      <c r="FJ1003" s="8"/>
      <c r="FK1003" s="8"/>
      <c r="FL1003" s="8"/>
      <c r="FM1003" s="8"/>
      <c r="FN1003" s="8"/>
      <c r="FO1003" s="8"/>
      <c r="FP1003" s="8"/>
      <c r="FQ1003" s="8"/>
      <c r="FR1003" s="8"/>
      <c r="FS1003" s="8"/>
      <c r="FT1003" s="8"/>
      <c r="FU1003" s="8"/>
      <c r="FV1003" s="8"/>
      <c r="FW1003" s="8"/>
      <c r="FX1003" s="8"/>
      <c r="FY1003" s="8"/>
      <c r="FZ1003" s="8"/>
      <c r="GA1003" s="8"/>
      <c r="GB1003" s="8"/>
      <c r="GC1003" s="8"/>
      <c r="GD1003" s="8"/>
      <c r="GE1003" s="8"/>
      <c r="GF1003" s="8"/>
      <c r="GG1003" s="8"/>
      <c r="GH1003" s="8"/>
      <c r="GI1003" s="8"/>
      <c r="GJ1003" s="8"/>
      <c r="GK1003" s="8"/>
      <c r="GL1003" s="8"/>
      <c r="GM1003" s="8"/>
      <c r="GN1003" s="8"/>
      <c r="GO1003" s="8"/>
      <c r="GP1003" s="8"/>
      <c r="GQ1003" s="8"/>
      <c r="GR1003" s="8"/>
      <c r="GS1003" s="8"/>
      <c r="GT1003" s="8"/>
      <c r="GU1003" s="8"/>
      <c r="GV1003" s="8"/>
      <c r="GW1003" s="8"/>
      <c r="GX1003" s="8"/>
      <c r="GY1003" s="8"/>
      <c r="GZ1003" s="8"/>
      <c r="HA1003" s="8"/>
      <c r="HB1003" s="8"/>
      <c r="HC1003" s="8"/>
      <c r="HD1003" s="8"/>
      <c r="HE1003" s="8"/>
      <c r="HF1003" s="8"/>
      <c r="HG1003" s="8"/>
      <c r="HH1003" s="8"/>
      <c r="HI1003" s="8"/>
      <c r="HJ1003" s="8"/>
      <c r="HK1003" s="8"/>
      <c r="HL1003" s="8"/>
      <c r="HM1003" s="8"/>
      <c r="HN1003" s="8"/>
      <c r="HO1003" s="8"/>
      <c r="HP1003" s="8"/>
      <c r="HQ1003" s="8"/>
      <c r="HR1003" s="8"/>
      <c r="HS1003" s="8"/>
      <c r="HT1003" s="8"/>
      <c r="HU1003" s="8"/>
      <c r="HV1003" s="8"/>
      <c r="HW1003" s="8"/>
      <c r="HX1003" s="8"/>
      <c r="HY1003" s="8"/>
      <c r="HZ1003" s="8"/>
      <c r="IA1003" s="8"/>
      <c r="IB1003" s="8"/>
      <c r="IC1003" s="8"/>
      <c r="ID1003" s="8"/>
      <c r="IE1003" s="8"/>
      <c r="IF1003" s="8"/>
    </row>
    <row r="1004" spans="1:240" ht="30" customHeight="1">
      <c r="A1004" s="5">
        <v>1002</v>
      </c>
      <c r="B1004" s="5"/>
      <c r="C1004" s="5"/>
      <c r="D1004" s="5" t="s">
        <v>68</v>
      </c>
      <c r="E1004" s="5">
        <v>1000</v>
      </c>
      <c r="F1004" s="5">
        <v>1000</v>
      </c>
      <c r="G1004" s="5">
        <v>2595</v>
      </c>
      <c r="H1004" s="5">
        <v>95</v>
      </c>
      <c r="I1004" s="5" t="s">
        <v>13</v>
      </c>
      <c r="J1004" s="5">
        <v>18</v>
      </c>
      <c r="K1004" s="17">
        <v>6</v>
      </c>
      <c r="L1004" s="5">
        <v>125.58</v>
      </c>
      <c r="M1004" s="5" t="s">
        <v>48</v>
      </c>
      <c r="N1004" s="5">
        <v>42</v>
      </c>
      <c r="O1004" s="5">
        <v>12000</v>
      </c>
      <c r="P1004" s="5"/>
      <c r="Q1004" s="5"/>
      <c r="R1004" s="5">
        <v>1</v>
      </c>
      <c r="S1004" s="5" t="s">
        <v>48</v>
      </c>
      <c r="T1004" s="5" t="s">
        <v>48</v>
      </c>
      <c r="U1004" s="5" t="s">
        <v>48</v>
      </c>
      <c r="V1004" s="5">
        <v>1.1000000000000001</v>
      </c>
      <c r="W1004" s="5" t="s">
        <v>47</v>
      </c>
      <c r="X1004" s="5">
        <v>54</v>
      </c>
      <c r="Y1004" s="5" t="s">
        <v>48</v>
      </c>
      <c r="Z1004" s="5" t="s">
        <v>48</v>
      </c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  <c r="BY1004" s="8"/>
      <c r="BZ1004" s="8"/>
      <c r="CA1004" s="8"/>
      <c r="CB1004" s="8"/>
      <c r="CC1004" s="8"/>
      <c r="CD1004" s="8"/>
      <c r="CE1004" s="8"/>
      <c r="CF1004" s="8"/>
      <c r="CG1004" s="8"/>
      <c r="CH1004" s="8"/>
      <c r="CI1004" s="8"/>
      <c r="CJ1004" s="8"/>
      <c r="CK1004" s="8"/>
      <c r="CL1004" s="8"/>
      <c r="CM1004" s="8"/>
      <c r="CN1004" s="8"/>
      <c r="CO1004" s="8"/>
      <c r="CP1004" s="8"/>
      <c r="CQ1004" s="8"/>
      <c r="CR1004" s="8"/>
      <c r="CS1004" s="8"/>
      <c r="CT1004" s="8"/>
      <c r="CU1004" s="8"/>
      <c r="CV1004" s="8"/>
      <c r="CW1004" s="8"/>
      <c r="CX1004" s="8"/>
      <c r="CY1004" s="8"/>
      <c r="CZ1004" s="8"/>
      <c r="DA1004" s="8"/>
      <c r="DB1004" s="8"/>
      <c r="DC1004" s="8"/>
      <c r="DD1004" s="8"/>
      <c r="DE1004" s="8"/>
      <c r="DF1004" s="8"/>
      <c r="DG1004" s="8"/>
      <c r="DH1004" s="8"/>
      <c r="DI1004" s="8"/>
      <c r="DJ1004" s="8"/>
      <c r="DK1004" s="8"/>
      <c r="DL1004" s="8"/>
      <c r="DM1004" s="8"/>
      <c r="DN1004" s="8"/>
      <c r="DO1004" s="8"/>
      <c r="DP1004" s="8"/>
      <c r="DQ1004" s="8"/>
      <c r="DR1004" s="8"/>
      <c r="DS1004" s="8"/>
      <c r="DT1004" s="8"/>
      <c r="DU1004" s="8"/>
      <c r="DV1004" s="8"/>
      <c r="DW1004" s="8"/>
      <c r="DX1004" s="8"/>
      <c r="DY1004" s="8"/>
      <c r="DZ1004" s="8"/>
      <c r="EA1004" s="8"/>
      <c r="EB1004" s="8"/>
      <c r="EC1004" s="8"/>
      <c r="ED1004" s="8"/>
      <c r="EE1004" s="8"/>
      <c r="EF1004" s="8"/>
      <c r="EG1004" s="8"/>
      <c r="EH1004" s="8"/>
      <c r="EI1004" s="8"/>
      <c r="EJ1004" s="8"/>
      <c r="EK1004" s="8"/>
      <c r="EL1004" s="8"/>
      <c r="EM1004" s="8"/>
      <c r="EN1004" s="8"/>
      <c r="EO1004" s="8"/>
      <c r="EP1004" s="8"/>
      <c r="EQ1004" s="8"/>
      <c r="ER1004" s="8"/>
      <c r="ES1004" s="8"/>
      <c r="ET1004" s="8"/>
      <c r="EU1004" s="8"/>
      <c r="EV1004" s="8"/>
      <c r="EW1004" s="8"/>
      <c r="EX1004" s="8"/>
      <c r="EY1004" s="8"/>
      <c r="EZ1004" s="8"/>
      <c r="FA1004" s="8"/>
      <c r="FB1004" s="8"/>
      <c r="FC1004" s="8"/>
      <c r="FD1004" s="8"/>
      <c r="FE1004" s="8"/>
      <c r="FF1004" s="8"/>
      <c r="FG1004" s="8"/>
      <c r="FH1004" s="8"/>
      <c r="FI1004" s="8"/>
      <c r="FJ1004" s="8"/>
      <c r="FK1004" s="8"/>
      <c r="FL1004" s="8"/>
      <c r="FM1004" s="8"/>
      <c r="FN1004" s="8"/>
      <c r="FO1004" s="8"/>
      <c r="FP1004" s="8"/>
      <c r="FQ1004" s="8"/>
      <c r="FR1004" s="8"/>
      <c r="FS1004" s="8"/>
      <c r="FT1004" s="8"/>
      <c r="FU1004" s="8"/>
      <c r="FV1004" s="8"/>
      <c r="FW1004" s="8"/>
      <c r="FX1004" s="8"/>
      <c r="FY1004" s="8"/>
      <c r="FZ1004" s="8"/>
      <c r="GA1004" s="8"/>
      <c r="GB1004" s="8"/>
      <c r="GC1004" s="8"/>
      <c r="GD1004" s="8"/>
      <c r="GE1004" s="8"/>
      <c r="GF1004" s="8"/>
      <c r="GG1004" s="8"/>
      <c r="GH1004" s="8"/>
      <c r="GI1004" s="8"/>
      <c r="GJ1004" s="8"/>
      <c r="GK1004" s="8"/>
      <c r="GL1004" s="8"/>
      <c r="GM1004" s="8"/>
      <c r="GN1004" s="8"/>
      <c r="GO1004" s="8"/>
      <c r="GP1004" s="8"/>
      <c r="GQ1004" s="8"/>
      <c r="GR1004" s="8"/>
      <c r="GS1004" s="8"/>
      <c r="GT1004" s="8"/>
      <c r="GU1004" s="8"/>
      <c r="GV1004" s="8"/>
      <c r="GW1004" s="8"/>
      <c r="GX1004" s="8"/>
      <c r="GY1004" s="8"/>
      <c r="GZ1004" s="8"/>
      <c r="HA1004" s="8"/>
      <c r="HB1004" s="8"/>
      <c r="HC1004" s="8"/>
      <c r="HD1004" s="8"/>
      <c r="HE1004" s="8"/>
      <c r="HF1004" s="8"/>
      <c r="HG1004" s="8"/>
      <c r="HH1004" s="8"/>
      <c r="HI1004" s="8"/>
      <c r="HJ1004" s="8"/>
      <c r="HK1004" s="8"/>
      <c r="HL1004" s="8"/>
      <c r="HM1004" s="8"/>
      <c r="HN1004" s="8"/>
      <c r="HO1004" s="8"/>
      <c r="HP1004" s="8"/>
      <c r="HQ1004" s="8"/>
      <c r="HR1004" s="8"/>
      <c r="HS1004" s="8"/>
      <c r="HT1004" s="8"/>
      <c r="HU1004" s="8"/>
      <c r="HV1004" s="8"/>
      <c r="HW1004" s="8"/>
      <c r="HX1004" s="8"/>
      <c r="HY1004" s="8"/>
      <c r="HZ1004" s="8"/>
      <c r="IA1004" s="8"/>
      <c r="IB1004" s="8"/>
      <c r="IC1004" s="8"/>
      <c r="ID1004" s="8"/>
      <c r="IE1004" s="8"/>
      <c r="IF1004" s="8"/>
    </row>
    <row r="1005" spans="1:240" ht="30" customHeight="1">
      <c r="A1005" s="5">
        <v>1003</v>
      </c>
      <c r="B1005" s="5"/>
      <c r="C1005" s="5"/>
      <c r="D1005" s="5" t="s">
        <v>68</v>
      </c>
      <c r="E1005" s="5">
        <v>1200</v>
      </c>
      <c r="F1005" s="5">
        <v>1200</v>
      </c>
      <c r="G1005" s="5">
        <v>2800</v>
      </c>
      <c r="H1005" s="5">
        <v>170</v>
      </c>
      <c r="I1005" s="5" t="s">
        <v>13</v>
      </c>
      <c r="J1005" s="5">
        <v>24.1</v>
      </c>
      <c r="K1005" s="17">
        <v>6</v>
      </c>
      <c r="L1005" s="5">
        <v>168.14</v>
      </c>
      <c r="M1005" s="5" t="s">
        <v>48</v>
      </c>
      <c r="N1005" s="5">
        <v>28</v>
      </c>
      <c r="O1005" s="5">
        <v>12000</v>
      </c>
      <c r="P1005" s="5"/>
      <c r="Q1005" s="5"/>
      <c r="R1005" s="5">
        <v>1</v>
      </c>
      <c r="S1005" s="5" t="s">
        <v>48</v>
      </c>
      <c r="T1005" s="5" t="s">
        <v>48</v>
      </c>
      <c r="U1005" s="5" t="s">
        <v>48</v>
      </c>
      <c r="V1005" s="5">
        <v>1.1000000000000001</v>
      </c>
      <c r="W1005" s="5" t="s">
        <v>47</v>
      </c>
      <c r="X1005" s="5">
        <v>54</v>
      </c>
      <c r="Y1005" s="5" t="s">
        <v>48</v>
      </c>
      <c r="Z1005" s="5" t="s">
        <v>48</v>
      </c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  <c r="BY1005" s="8"/>
      <c r="BZ1005" s="8"/>
      <c r="CA1005" s="8"/>
      <c r="CB1005" s="8"/>
      <c r="CC1005" s="8"/>
      <c r="CD1005" s="8"/>
      <c r="CE1005" s="8"/>
      <c r="CF1005" s="8"/>
      <c r="CG1005" s="8"/>
      <c r="CH1005" s="8"/>
      <c r="CI1005" s="8"/>
      <c r="CJ1005" s="8"/>
      <c r="CK1005" s="8"/>
      <c r="CL1005" s="8"/>
      <c r="CM1005" s="8"/>
      <c r="CN1005" s="8"/>
      <c r="CO1005" s="8"/>
      <c r="CP1005" s="8"/>
      <c r="CQ1005" s="8"/>
      <c r="CR1005" s="8"/>
      <c r="CS1005" s="8"/>
      <c r="CT1005" s="8"/>
      <c r="CU1005" s="8"/>
      <c r="CV1005" s="8"/>
      <c r="CW1005" s="8"/>
      <c r="CX1005" s="8"/>
      <c r="CY1005" s="8"/>
      <c r="CZ1005" s="8"/>
      <c r="DA1005" s="8"/>
      <c r="DB1005" s="8"/>
      <c r="DC1005" s="8"/>
      <c r="DD1005" s="8"/>
      <c r="DE1005" s="8"/>
      <c r="DF1005" s="8"/>
      <c r="DG1005" s="8"/>
      <c r="DH1005" s="8"/>
      <c r="DI1005" s="8"/>
      <c r="DJ1005" s="8"/>
      <c r="DK1005" s="8"/>
      <c r="DL1005" s="8"/>
      <c r="DM1005" s="8"/>
      <c r="DN1005" s="8"/>
      <c r="DO1005" s="8"/>
      <c r="DP1005" s="8"/>
      <c r="DQ1005" s="8"/>
      <c r="DR1005" s="8"/>
      <c r="DS1005" s="8"/>
      <c r="DT1005" s="8"/>
      <c r="DU1005" s="8"/>
      <c r="DV1005" s="8"/>
      <c r="DW1005" s="8"/>
      <c r="DX1005" s="8"/>
      <c r="DY1005" s="8"/>
      <c r="DZ1005" s="8"/>
      <c r="EA1005" s="8"/>
      <c r="EB1005" s="8"/>
      <c r="EC1005" s="8"/>
      <c r="ED1005" s="8"/>
      <c r="EE1005" s="8"/>
      <c r="EF1005" s="8"/>
      <c r="EG1005" s="8"/>
      <c r="EH1005" s="8"/>
      <c r="EI1005" s="8"/>
      <c r="EJ1005" s="8"/>
      <c r="EK1005" s="8"/>
      <c r="EL1005" s="8"/>
      <c r="EM1005" s="8"/>
      <c r="EN1005" s="8"/>
      <c r="EO1005" s="8"/>
      <c r="EP1005" s="8"/>
      <c r="EQ1005" s="8"/>
      <c r="ER1005" s="8"/>
      <c r="ES1005" s="8"/>
      <c r="ET1005" s="8"/>
      <c r="EU1005" s="8"/>
      <c r="EV1005" s="8"/>
      <c r="EW1005" s="8"/>
      <c r="EX1005" s="8"/>
      <c r="EY1005" s="8"/>
      <c r="EZ1005" s="8"/>
      <c r="FA1005" s="8"/>
      <c r="FB1005" s="8"/>
      <c r="FC1005" s="8"/>
      <c r="FD1005" s="8"/>
      <c r="FE1005" s="8"/>
      <c r="FF1005" s="8"/>
      <c r="FG1005" s="8"/>
      <c r="FH1005" s="8"/>
      <c r="FI1005" s="8"/>
      <c r="FJ1005" s="8"/>
      <c r="FK1005" s="8"/>
      <c r="FL1005" s="8"/>
      <c r="FM1005" s="8"/>
      <c r="FN1005" s="8"/>
      <c r="FO1005" s="8"/>
      <c r="FP1005" s="8"/>
      <c r="FQ1005" s="8"/>
      <c r="FR1005" s="8"/>
      <c r="FS1005" s="8"/>
      <c r="FT1005" s="8"/>
      <c r="FU1005" s="8"/>
      <c r="FV1005" s="8"/>
      <c r="FW1005" s="8"/>
      <c r="FX1005" s="8"/>
      <c r="FY1005" s="8"/>
      <c r="FZ1005" s="8"/>
      <c r="GA1005" s="8"/>
      <c r="GB1005" s="8"/>
      <c r="GC1005" s="8"/>
      <c r="GD1005" s="8"/>
      <c r="GE1005" s="8"/>
      <c r="GF1005" s="8"/>
      <c r="GG1005" s="8"/>
      <c r="GH1005" s="8"/>
      <c r="GI1005" s="8"/>
      <c r="GJ1005" s="8"/>
      <c r="GK1005" s="8"/>
      <c r="GL1005" s="8"/>
      <c r="GM1005" s="8"/>
      <c r="GN1005" s="8"/>
      <c r="GO1005" s="8"/>
      <c r="GP1005" s="8"/>
      <c r="GQ1005" s="8"/>
      <c r="GR1005" s="8"/>
      <c r="GS1005" s="8"/>
      <c r="GT1005" s="8"/>
      <c r="GU1005" s="8"/>
      <c r="GV1005" s="8"/>
      <c r="GW1005" s="8"/>
      <c r="GX1005" s="8"/>
      <c r="GY1005" s="8"/>
      <c r="GZ1005" s="8"/>
      <c r="HA1005" s="8"/>
      <c r="HB1005" s="8"/>
      <c r="HC1005" s="8"/>
      <c r="HD1005" s="8"/>
      <c r="HE1005" s="8"/>
      <c r="HF1005" s="8"/>
      <c r="HG1005" s="8"/>
      <c r="HH1005" s="8"/>
      <c r="HI1005" s="8"/>
      <c r="HJ1005" s="8"/>
      <c r="HK1005" s="8"/>
      <c r="HL1005" s="8"/>
      <c r="HM1005" s="8"/>
      <c r="HN1005" s="8"/>
      <c r="HO1005" s="8"/>
      <c r="HP1005" s="8"/>
      <c r="HQ1005" s="8"/>
      <c r="HR1005" s="8"/>
      <c r="HS1005" s="8"/>
      <c r="HT1005" s="8"/>
      <c r="HU1005" s="8"/>
      <c r="HV1005" s="8"/>
      <c r="HW1005" s="8"/>
      <c r="HX1005" s="8"/>
      <c r="HY1005" s="8"/>
      <c r="HZ1005" s="8"/>
      <c r="IA1005" s="8"/>
      <c r="IB1005" s="8"/>
      <c r="IC1005" s="8"/>
      <c r="ID1005" s="8"/>
      <c r="IE1005" s="8"/>
      <c r="IF1005" s="8"/>
    </row>
    <row r="1006" spans="1:240" ht="30" customHeight="1">
      <c r="A1006" s="5">
        <v>1004</v>
      </c>
      <c r="B1006" s="5"/>
      <c r="C1006" s="5"/>
      <c r="D1006" s="5" t="s">
        <v>68</v>
      </c>
      <c r="E1006" s="5">
        <v>1200</v>
      </c>
      <c r="F1006" s="5">
        <v>1200</v>
      </c>
      <c r="G1006" s="5">
        <v>2800</v>
      </c>
      <c r="H1006" s="5">
        <v>170</v>
      </c>
      <c r="I1006" s="5" t="s">
        <v>13</v>
      </c>
      <c r="J1006" s="5">
        <v>28.33</v>
      </c>
      <c r="K1006" s="17">
        <v>6</v>
      </c>
      <c r="L1006" s="5">
        <v>197.67</v>
      </c>
      <c r="M1006" s="5" t="s">
        <v>48</v>
      </c>
      <c r="N1006" s="5">
        <v>35</v>
      </c>
      <c r="O1006" s="5">
        <v>17000</v>
      </c>
      <c r="P1006" s="5"/>
      <c r="Q1006" s="5"/>
      <c r="R1006" s="5">
        <v>1</v>
      </c>
      <c r="S1006" s="5" t="s">
        <v>48</v>
      </c>
      <c r="T1006" s="5" t="s">
        <v>48</v>
      </c>
      <c r="U1006" s="5" t="s">
        <v>48</v>
      </c>
      <c r="V1006" s="5">
        <v>1.5</v>
      </c>
      <c r="W1006" s="5" t="s">
        <v>47</v>
      </c>
      <c r="X1006" s="5">
        <v>54</v>
      </c>
      <c r="Y1006" s="5" t="s">
        <v>48</v>
      </c>
      <c r="Z1006" s="5" t="s">
        <v>48</v>
      </c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  <c r="BY1006" s="8"/>
      <c r="BZ1006" s="8"/>
      <c r="CA1006" s="8"/>
      <c r="CB1006" s="8"/>
      <c r="CC1006" s="8"/>
      <c r="CD1006" s="8"/>
      <c r="CE1006" s="8"/>
      <c r="CF1006" s="8"/>
      <c r="CG1006" s="8"/>
      <c r="CH1006" s="8"/>
      <c r="CI1006" s="8"/>
      <c r="CJ1006" s="8"/>
      <c r="CK1006" s="8"/>
      <c r="CL1006" s="8"/>
      <c r="CM1006" s="8"/>
      <c r="CN1006" s="8"/>
      <c r="CO1006" s="8"/>
      <c r="CP1006" s="8"/>
      <c r="CQ1006" s="8"/>
      <c r="CR1006" s="8"/>
      <c r="CS1006" s="8"/>
      <c r="CT1006" s="8"/>
      <c r="CU1006" s="8"/>
      <c r="CV1006" s="8"/>
      <c r="CW1006" s="8"/>
      <c r="CX1006" s="8"/>
      <c r="CY1006" s="8"/>
      <c r="CZ1006" s="8"/>
      <c r="DA1006" s="8"/>
      <c r="DB1006" s="8"/>
      <c r="DC1006" s="8"/>
      <c r="DD1006" s="8"/>
      <c r="DE1006" s="8"/>
      <c r="DF1006" s="8"/>
      <c r="DG1006" s="8"/>
      <c r="DH1006" s="8"/>
      <c r="DI1006" s="8"/>
      <c r="DJ1006" s="8"/>
      <c r="DK1006" s="8"/>
      <c r="DL1006" s="8"/>
      <c r="DM1006" s="8"/>
      <c r="DN1006" s="8"/>
      <c r="DO1006" s="8"/>
      <c r="DP1006" s="8"/>
      <c r="DQ1006" s="8"/>
      <c r="DR1006" s="8"/>
      <c r="DS1006" s="8"/>
      <c r="DT1006" s="8"/>
      <c r="DU1006" s="8"/>
      <c r="DV1006" s="8"/>
      <c r="DW1006" s="8"/>
      <c r="DX1006" s="8"/>
      <c r="DY1006" s="8"/>
      <c r="DZ1006" s="8"/>
      <c r="EA1006" s="8"/>
      <c r="EB1006" s="8"/>
      <c r="EC1006" s="8"/>
      <c r="ED1006" s="8"/>
      <c r="EE1006" s="8"/>
      <c r="EF1006" s="8"/>
      <c r="EG1006" s="8"/>
      <c r="EH1006" s="8"/>
      <c r="EI1006" s="8"/>
      <c r="EJ1006" s="8"/>
      <c r="EK1006" s="8"/>
      <c r="EL1006" s="8"/>
      <c r="EM1006" s="8"/>
      <c r="EN1006" s="8"/>
      <c r="EO1006" s="8"/>
      <c r="EP1006" s="8"/>
      <c r="EQ1006" s="8"/>
      <c r="ER1006" s="8"/>
      <c r="ES1006" s="8"/>
      <c r="ET1006" s="8"/>
      <c r="EU1006" s="8"/>
      <c r="EV1006" s="8"/>
      <c r="EW1006" s="8"/>
      <c r="EX1006" s="8"/>
      <c r="EY1006" s="8"/>
      <c r="EZ1006" s="8"/>
      <c r="FA1006" s="8"/>
      <c r="FB1006" s="8"/>
      <c r="FC1006" s="8"/>
      <c r="FD1006" s="8"/>
      <c r="FE1006" s="8"/>
      <c r="FF1006" s="8"/>
      <c r="FG1006" s="8"/>
      <c r="FH1006" s="8"/>
      <c r="FI1006" s="8"/>
      <c r="FJ1006" s="8"/>
      <c r="FK1006" s="8"/>
      <c r="FL1006" s="8"/>
      <c r="FM1006" s="8"/>
      <c r="FN1006" s="8"/>
      <c r="FO1006" s="8"/>
      <c r="FP1006" s="8"/>
      <c r="FQ1006" s="8"/>
      <c r="FR1006" s="8"/>
      <c r="FS1006" s="8"/>
      <c r="FT1006" s="8"/>
      <c r="FU1006" s="8"/>
      <c r="FV1006" s="8"/>
      <c r="FW1006" s="8"/>
      <c r="FX1006" s="8"/>
      <c r="FY1006" s="8"/>
      <c r="FZ1006" s="8"/>
      <c r="GA1006" s="8"/>
      <c r="GB1006" s="8"/>
      <c r="GC1006" s="8"/>
      <c r="GD1006" s="8"/>
      <c r="GE1006" s="8"/>
      <c r="GF1006" s="8"/>
      <c r="GG1006" s="8"/>
      <c r="GH1006" s="8"/>
      <c r="GI1006" s="8"/>
      <c r="GJ1006" s="8"/>
      <c r="GK1006" s="8"/>
      <c r="GL1006" s="8"/>
      <c r="GM1006" s="8"/>
      <c r="GN1006" s="8"/>
      <c r="GO1006" s="8"/>
      <c r="GP1006" s="8"/>
      <c r="GQ1006" s="8"/>
      <c r="GR1006" s="8"/>
      <c r="GS1006" s="8"/>
      <c r="GT1006" s="8"/>
      <c r="GU1006" s="8"/>
      <c r="GV1006" s="8"/>
      <c r="GW1006" s="8"/>
      <c r="GX1006" s="8"/>
      <c r="GY1006" s="8"/>
      <c r="GZ1006" s="8"/>
      <c r="HA1006" s="8"/>
      <c r="HB1006" s="8"/>
      <c r="HC1006" s="8"/>
      <c r="HD1006" s="8"/>
      <c r="HE1006" s="8"/>
      <c r="HF1006" s="8"/>
      <c r="HG1006" s="8"/>
      <c r="HH1006" s="8"/>
      <c r="HI1006" s="8"/>
      <c r="HJ1006" s="8"/>
      <c r="HK1006" s="8"/>
      <c r="HL1006" s="8"/>
      <c r="HM1006" s="8"/>
      <c r="HN1006" s="8"/>
      <c r="HO1006" s="8"/>
      <c r="HP1006" s="8"/>
      <c r="HQ1006" s="8"/>
      <c r="HR1006" s="8"/>
      <c r="HS1006" s="8"/>
      <c r="HT1006" s="8"/>
      <c r="HU1006" s="8"/>
      <c r="HV1006" s="8"/>
      <c r="HW1006" s="8"/>
      <c r="HX1006" s="8"/>
      <c r="HY1006" s="8"/>
      <c r="HZ1006" s="8"/>
      <c r="IA1006" s="8"/>
      <c r="IB1006" s="8"/>
      <c r="IC1006" s="8"/>
      <c r="ID1006" s="8"/>
      <c r="IE1006" s="8"/>
      <c r="IF1006" s="8"/>
    </row>
    <row r="1007" spans="1:240" ht="30" customHeight="1">
      <c r="A1007" s="5">
        <v>1005</v>
      </c>
      <c r="B1007" s="5"/>
      <c r="C1007" s="5"/>
      <c r="D1007" s="5" t="s">
        <v>68</v>
      </c>
      <c r="E1007" s="5">
        <v>1400</v>
      </c>
      <c r="F1007" s="5">
        <v>1400</v>
      </c>
      <c r="G1007" s="5">
        <v>2860</v>
      </c>
      <c r="H1007" s="5">
        <v>210</v>
      </c>
      <c r="I1007" s="5" t="s">
        <v>13</v>
      </c>
      <c r="J1007" s="5">
        <v>34.700000000000003</v>
      </c>
      <c r="K1007" s="17">
        <v>6</v>
      </c>
      <c r="L1007" s="5">
        <v>242.09</v>
      </c>
      <c r="M1007" s="5" t="s">
        <v>48</v>
      </c>
      <c r="N1007" s="5">
        <v>23</v>
      </c>
      <c r="O1007" s="5">
        <v>17000</v>
      </c>
      <c r="P1007" s="5"/>
      <c r="Q1007" s="5"/>
      <c r="R1007" s="5">
        <v>1</v>
      </c>
      <c r="S1007" s="5" t="s">
        <v>48</v>
      </c>
      <c r="T1007" s="5" t="s">
        <v>48</v>
      </c>
      <c r="U1007" s="5" t="s">
        <v>48</v>
      </c>
      <c r="V1007" s="5">
        <v>1.5</v>
      </c>
      <c r="W1007" s="5" t="s">
        <v>47</v>
      </c>
      <c r="X1007" s="5">
        <v>55</v>
      </c>
      <c r="Y1007" s="5" t="s">
        <v>48</v>
      </c>
      <c r="Z1007" s="5" t="s">
        <v>48</v>
      </c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  <c r="BY1007" s="8"/>
      <c r="BZ1007" s="8"/>
      <c r="CA1007" s="8"/>
      <c r="CB1007" s="8"/>
      <c r="CC1007" s="8"/>
      <c r="CD1007" s="8"/>
      <c r="CE1007" s="8"/>
      <c r="CF1007" s="8"/>
      <c r="CG1007" s="8"/>
      <c r="CH1007" s="8"/>
      <c r="CI1007" s="8"/>
      <c r="CJ1007" s="8"/>
      <c r="CK1007" s="8"/>
      <c r="CL1007" s="8"/>
      <c r="CM1007" s="8"/>
      <c r="CN1007" s="8"/>
      <c r="CO1007" s="8"/>
      <c r="CP1007" s="8"/>
      <c r="CQ1007" s="8"/>
      <c r="CR1007" s="8"/>
      <c r="CS1007" s="8"/>
      <c r="CT1007" s="8"/>
      <c r="CU1007" s="8"/>
      <c r="CV1007" s="8"/>
      <c r="CW1007" s="8"/>
      <c r="CX1007" s="8"/>
      <c r="CY1007" s="8"/>
      <c r="CZ1007" s="8"/>
      <c r="DA1007" s="8"/>
      <c r="DB1007" s="8"/>
      <c r="DC1007" s="8"/>
      <c r="DD1007" s="8"/>
      <c r="DE1007" s="8"/>
      <c r="DF1007" s="8"/>
      <c r="DG1007" s="8"/>
      <c r="DH1007" s="8"/>
      <c r="DI1007" s="8"/>
      <c r="DJ1007" s="8"/>
      <c r="DK1007" s="8"/>
      <c r="DL1007" s="8"/>
      <c r="DM1007" s="8"/>
      <c r="DN1007" s="8"/>
      <c r="DO1007" s="8"/>
      <c r="DP1007" s="8"/>
      <c r="DQ1007" s="8"/>
      <c r="DR1007" s="8"/>
      <c r="DS1007" s="8"/>
      <c r="DT1007" s="8"/>
      <c r="DU1007" s="8"/>
      <c r="DV1007" s="8"/>
      <c r="DW1007" s="8"/>
      <c r="DX1007" s="8"/>
      <c r="DY1007" s="8"/>
      <c r="DZ1007" s="8"/>
      <c r="EA1007" s="8"/>
      <c r="EB1007" s="8"/>
      <c r="EC1007" s="8"/>
      <c r="ED1007" s="8"/>
      <c r="EE1007" s="8"/>
      <c r="EF1007" s="8"/>
      <c r="EG1007" s="8"/>
      <c r="EH1007" s="8"/>
      <c r="EI1007" s="8"/>
      <c r="EJ1007" s="8"/>
      <c r="EK1007" s="8"/>
      <c r="EL1007" s="8"/>
      <c r="EM1007" s="8"/>
      <c r="EN1007" s="8"/>
      <c r="EO1007" s="8"/>
      <c r="EP1007" s="8"/>
      <c r="EQ1007" s="8"/>
      <c r="ER1007" s="8"/>
      <c r="ES1007" s="8"/>
      <c r="ET1007" s="8"/>
      <c r="EU1007" s="8"/>
      <c r="EV1007" s="8"/>
      <c r="EW1007" s="8"/>
      <c r="EX1007" s="8"/>
      <c r="EY1007" s="8"/>
      <c r="EZ1007" s="8"/>
      <c r="FA1007" s="8"/>
      <c r="FB1007" s="8"/>
      <c r="FC1007" s="8"/>
      <c r="FD1007" s="8"/>
      <c r="FE1007" s="8"/>
      <c r="FF1007" s="8"/>
      <c r="FG1007" s="8"/>
      <c r="FH1007" s="8"/>
      <c r="FI1007" s="8"/>
      <c r="FJ1007" s="8"/>
      <c r="FK1007" s="8"/>
      <c r="FL1007" s="8"/>
      <c r="FM1007" s="8"/>
      <c r="FN1007" s="8"/>
      <c r="FO1007" s="8"/>
      <c r="FP1007" s="8"/>
      <c r="FQ1007" s="8"/>
      <c r="FR1007" s="8"/>
      <c r="FS1007" s="8"/>
      <c r="FT1007" s="8"/>
      <c r="FU1007" s="8"/>
      <c r="FV1007" s="8"/>
      <c r="FW1007" s="8"/>
      <c r="FX1007" s="8"/>
      <c r="FY1007" s="8"/>
      <c r="FZ1007" s="8"/>
      <c r="GA1007" s="8"/>
      <c r="GB1007" s="8"/>
      <c r="GC1007" s="8"/>
      <c r="GD1007" s="8"/>
      <c r="GE1007" s="8"/>
      <c r="GF1007" s="8"/>
      <c r="GG1007" s="8"/>
      <c r="GH1007" s="8"/>
      <c r="GI1007" s="8"/>
      <c r="GJ1007" s="8"/>
      <c r="GK1007" s="8"/>
      <c r="GL1007" s="8"/>
      <c r="GM1007" s="8"/>
      <c r="GN1007" s="8"/>
      <c r="GO1007" s="8"/>
      <c r="GP1007" s="8"/>
      <c r="GQ1007" s="8"/>
      <c r="GR1007" s="8"/>
      <c r="GS1007" s="8"/>
      <c r="GT1007" s="8"/>
      <c r="GU1007" s="8"/>
      <c r="GV1007" s="8"/>
      <c r="GW1007" s="8"/>
      <c r="GX1007" s="8"/>
      <c r="GY1007" s="8"/>
      <c r="GZ1007" s="8"/>
      <c r="HA1007" s="8"/>
      <c r="HB1007" s="8"/>
      <c r="HC1007" s="8"/>
      <c r="HD1007" s="8"/>
      <c r="HE1007" s="8"/>
      <c r="HF1007" s="8"/>
      <c r="HG1007" s="8"/>
      <c r="HH1007" s="8"/>
      <c r="HI1007" s="8"/>
      <c r="HJ1007" s="8"/>
      <c r="HK1007" s="8"/>
      <c r="HL1007" s="8"/>
      <c r="HM1007" s="8"/>
      <c r="HN1007" s="8"/>
      <c r="HO1007" s="8"/>
      <c r="HP1007" s="8"/>
      <c r="HQ1007" s="8"/>
      <c r="HR1007" s="8"/>
      <c r="HS1007" s="8"/>
      <c r="HT1007" s="8"/>
      <c r="HU1007" s="8"/>
      <c r="HV1007" s="8"/>
      <c r="HW1007" s="8"/>
      <c r="HX1007" s="8"/>
      <c r="HY1007" s="8"/>
      <c r="HZ1007" s="8"/>
      <c r="IA1007" s="8"/>
      <c r="IB1007" s="8"/>
      <c r="IC1007" s="8"/>
      <c r="ID1007" s="8"/>
      <c r="IE1007" s="8"/>
      <c r="IF1007" s="8"/>
    </row>
    <row r="1008" spans="1:240" ht="30" customHeight="1">
      <c r="A1008" s="5">
        <v>1006</v>
      </c>
      <c r="B1008" s="5"/>
      <c r="C1008" s="5"/>
      <c r="D1008" s="5" t="s">
        <v>68</v>
      </c>
      <c r="E1008" s="5">
        <v>1400</v>
      </c>
      <c r="F1008" s="5">
        <v>1400</v>
      </c>
      <c r="G1008" s="5">
        <v>2860</v>
      </c>
      <c r="H1008" s="5">
        <v>210</v>
      </c>
      <c r="I1008" s="5" t="s">
        <v>13</v>
      </c>
      <c r="J1008" s="5">
        <v>43.3</v>
      </c>
      <c r="K1008" s="17">
        <v>6</v>
      </c>
      <c r="L1008" s="5">
        <v>302.33</v>
      </c>
      <c r="M1008" s="5" t="s">
        <v>48</v>
      </c>
      <c r="N1008" s="5">
        <v>40</v>
      </c>
      <c r="O1008" s="5">
        <v>26000</v>
      </c>
      <c r="P1008" s="5"/>
      <c r="Q1008" s="5"/>
      <c r="R1008" s="5">
        <v>1</v>
      </c>
      <c r="S1008" s="5" t="s">
        <v>48</v>
      </c>
      <c r="T1008" s="5" t="s">
        <v>48</v>
      </c>
      <c r="U1008" s="5" t="s">
        <v>48</v>
      </c>
      <c r="V1008" s="5">
        <v>2.2000000000000002</v>
      </c>
      <c r="W1008" s="5" t="s">
        <v>47</v>
      </c>
      <c r="X1008" s="5">
        <v>55</v>
      </c>
      <c r="Y1008" s="5" t="s">
        <v>48</v>
      </c>
      <c r="Z1008" s="5" t="s">
        <v>48</v>
      </c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  <c r="BY1008" s="8"/>
      <c r="BZ1008" s="8"/>
      <c r="CA1008" s="8"/>
      <c r="CB1008" s="8"/>
      <c r="CC1008" s="8"/>
      <c r="CD1008" s="8"/>
      <c r="CE1008" s="8"/>
      <c r="CF1008" s="8"/>
      <c r="CG1008" s="8"/>
      <c r="CH1008" s="8"/>
      <c r="CI1008" s="8"/>
      <c r="CJ1008" s="8"/>
      <c r="CK1008" s="8"/>
      <c r="CL1008" s="8"/>
      <c r="CM1008" s="8"/>
      <c r="CN1008" s="8"/>
      <c r="CO1008" s="8"/>
      <c r="CP1008" s="8"/>
      <c r="CQ1008" s="8"/>
      <c r="CR1008" s="8"/>
      <c r="CS1008" s="8"/>
      <c r="CT1008" s="8"/>
      <c r="CU1008" s="8"/>
      <c r="CV1008" s="8"/>
      <c r="CW1008" s="8"/>
      <c r="CX1008" s="8"/>
      <c r="CY1008" s="8"/>
      <c r="CZ1008" s="8"/>
      <c r="DA1008" s="8"/>
      <c r="DB1008" s="8"/>
      <c r="DC1008" s="8"/>
      <c r="DD1008" s="8"/>
      <c r="DE1008" s="8"/>
      <c r="DF1008" s="8"/>
      <c r="DG1008" s="8"/>
      <c r="DH1008" s="8"/>
      <c r="DI1008" s="8"/>
      <c r="DJ1008" s="8"/>
      <c r="DK1008" s="8"/>
      <c r="DL1008" s="8"/>
      <c r="DM1008" s="8"/>
      <c r="DN1008" s="8"/>
      <c r="DO1008" s="8"/>
      <c r="DP1008" s="8"/>
      <c r="DQ1008" s="8"/>
      <c r="DR1008" s="8"/>
      <c r="DS1008" s="8"/>
      <c r="DT1008" s="8"/>
      <c r="DU1008" s="8"/>
      <c r="DV1008" s="8"/>
      <c r="DW1008" s="8"/>
      <c r="DX1008" s="8"/>
      <c r="DY1008" s="8"/>
      <c r="DZ1008" s="8"/>
      <c r="EA1008" s="8"/>
      <c r="EB1008" s="8"/>
      <c r="EC1008" s="8"/>
      <c r="ED1008" s="8"/>
      <c r="EE1008" s="8"/>
      <c r="EF1008" s="8"/>
      <c r="EG1008" s="8"/>
      <c r="EH1008" s="8"/>
      <c r="EI1008" s="8"/>
      <c r="EJ1008" s="8"/>
      <c r="EK1008" s="8"/>
      <c r="EL1008" s="8"/>
      <c r="EM1008" s="8"/>
      <c r="EN1008" s="8"/>
      <c r="EO1008" s="8"/>
      <c r="EP1008" s="8"/>
      <c r="EQ1008" s="8"/>
      <c r="ER1008" s="8"/>
      <c r="ES1008" s="8"/>
      <c r="ET1008" s="8"/>
      <c r="EU1008" s="8"/>
      <c r="EV1008" s="8"/>
      <c r="EW1008" s="8"/>
      <c r="EX1008" s="8"/>
      <c r="EY1008" s="8"/>
      <c r="EZ1008" s="8"/>
      <c r="FA1008" s="8"/>
      <c r="FB1008" s="8"/>
      <c r="FC1008" s="8"/>
      <c r="FD1008" s="8"/>
      <c r="FE1008" s="8"/>
      <c r="FF1008" s="8"/>
      <c r="FG1008" s="8"/>
      <c r="FH1008" s="8"/>
      <c r="FI1008" s="8"/>
      <c r="FJ1008" s="8"/>
      <c r="FK1008" s="8"/>
      <c r="FL1008" s="8"/>
      <c r="FM1008" s="8"/>
      <c r="FN1008" s="8"/>
      <c r="FO1008" s="8"/>
      <c r="FP1008" s="8"/>
      <c r="FQ1008" s="8"/>
      <c r="FR1008" s="8"/>
      <c r="FS1008" s="8"/>
      <c r="FT1008" s="8"/>
      <c r="FU1008" s="8"/>
      <c r="FV1008" s="8"/>
      <c r="FW1008" s="8"/>
      <c r="FX1008" s="8"/>
      <c r="FY1008" s="8"/>
      <c r="FZ1008" s="8"/>
      <c r="GA1008" s="8"/>
      <c r="GB1008" s="8"/>
      <c r="GC1008" s="8"/>
      <c r="GD1008" s="8"/>
      <c r="GE1008" s="8"/>
      <c r="GF1008" s="8"/>
      <c r="GG1008" s="8"/>
      <c r="GH1008" s="8"/>
      <c r="GI1008" s="8"/>
      <c r="GJ1008" s="8"/>
      <c r="GK1008" s="8"/>
      <c r="GL1008" s="8"/>
      <c r="GM1008" s="8"/>
      <c r="GN1008" s="8"/>
      <c r="GO1008" s="8"/>
      <c r="GP1008" s="8"/>
      <c r="GQ1008" s="8"/>
      <c r="GR1008" s="8"/>
      <c r="GS1008" s="8"/>
      <c r="GT1008" s="8"/>
      <c r="GU1008" s="8"/>
      <c r="GV1008" s="8"/>
      <c r="GW1008" s="8"/>
      <c r="GX1008" s="8"/>
      <c r="GY1008" s="8"/>
      <c r="GZ1008" s="8"/>
      <c r="HA1008" s="8"/>
      <c r="HB1008" s="8"/>
      <c r="HC1008" s="8"/>
      <c r="HD1008" s="8"/>
      <c r="HE1008" s="8"/>
      <c r="HF1008" s="8"/>
      <c r="HG1008" s="8"/>
      <c r="HH1008" s="8"/>
      <c r="HI1008" s="8"/>
      <c r="HJ1008" s="8"/>
      <c r="HK1008" s="8"/>
      <c r="HL1008" s="8"/>
      <c r="HM1008" s="8"/>
      <c r="HN1008" s="8"/>
      <c r="HO1008" s="8"/>
      <c r="HP1008" s="8"/>
      <c r="HQ1008" s="8"/>
      <c r="HR1008" s="8"/>
      <c r="HS1008" s="8"/>
      <c r="HT1008" s="8"/>
      <c r="HU1008" s="8"/>
      <c r="HV1008" s="8"/>
      <c r="HW1008" s="8"/>
      <c r="HX1008" s="8"/>
      <c r="HY1008" s="8"/>
      <c r="HZ1008" s="8"/>
      <c r="IA1008" s="8"/>
      <c r="IB1008" s="8"/>
      <c r="IC1008" s="8"/>
      <c r="ID1008" s="8"/>
      <c r="IE1008" s="8"/>
      <c r="IF1008" s="8"/>
    </row>
    <row r="1009" spans="1:240" ht="30" customHeight="1">
      <c r="A1009" s="5">
        <v>1007</v>
      </c>
      <c r="B1009" s="5"/>
      <c r="C1009" s="5"/>
      <c r="D1009" s="5" t="s">
        <v>68</v>
      </c>
      <c r="E1009" s="5">
        <v>1740</v>
      </c>
      <c r="F1009" s="5">
        <v>1740</v>
      </c>
      <c r="G1009" s="5">
        <v>3140</v>
      </c>
      <c r="H1009" s="5">
        <v>410</v>
      </c>
      <c r="I1009" s="5" t="s">
        <v>13</v>
      </c>
      <c r="J1009" s="5">
        <v>58.1</v>
      </c>
      <c r="K1009" s="17">
        <v>6</v>
      </c>
      <c r="L1009" s="5">
        <v>405.35</v>
      </c>
      <c r="M1009" s="5" t="s">
        <v>48</v>
      </c>
      <c r="N1009" s="5">
        <v>28</v>
      </c>
      <c r="O1009" s="5">
        <v>26000</v>
      </c>
      <c r="P1009" s="5"/>
      <c r="Q1009" s="5"/>
      <c r="R1009" s="5">
        <v>1</v>
      </c>
      <c r="S1009" s="5" t="s">
        <v>48</v>
      </c>
      <c r="T1009" s="5" t="s">
        <v>48</v>
      </c>
      <c r="U1009" s="5" t="s">
        <v>48</v>
      </c>
      <c r="V1009" s="5">
        <v>2.2000000000000002</v>
      </c>
      <c r="W1009" s="5" t="s">
        <v>47</v>
      </c>
      <c r="X1009" s="5">
        <v>57</v>
      </c>
      <c r="Y1009" s="5" t="s">
        <v>48</v>
      </c>
      <c r="Z1009" s="5" t="s">
        <v>48</v>
      </c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  <c r="BY1009" s="8"/>
      <c r="BZ1009" s="8"/>
      <c r="CA1009" s="8"/>
      <c r="CB1009" s="8"/>
      <c r="CC1009" s="8"/>
      <c r="CD1009" s="8"/>
      <c r="CE1009" s="8"/>
      <c r="CF1009" s="8"/>
      <c r="CG1009" s="8"/>
      <c r="CH1009" s="8"/>
      <c r="CI1009" s="8"/>
      <c r="CJ1009" s="8"/>
      <c r="CK1009" s="8"/>
      <c r="CL1009" s="8"/>
      <c r="CM1009" s="8"/>
      <c r="CN1009" s="8"/>
      <c r="CO1009" s="8"/>
      <c r="CP1009" s="8"/>
      <c r="CQ1009" s="8"/>
      <c r="CR1009" s="8"/>
      <c r="CS1009" s="8"/>
      <c r="CT1009" s="8"/>
      <c r="CU1009" s="8"/>
      <c r="CV1009" s="8"/>
      <c r="CW1009" s="8"/>
      <c r="CX1009" s="8"/>
      <c r="CY1009" s="8"/>
      <c r="CZ1009" s="8"/>
      <c r="DA1009" s="8"/>
      <c r="DB1009" s="8"/>
      <c r="DC1009" s="8"/>
      <c r="DD1009" s="8"/>
      <c r="DE1009" s="8"/>
      <c r="DF1009" s="8"/>
      <c r="DG1009" s="8"/>
      <c r="DH1009" s="8"/>
      <c r="DI1009" s="8"/>
      <c r="DJ1009" s="8"/>
      <c r="DK1009" s="8"/>
      <c r="DL1009" s="8"/>
      <c r="DM1009" s="8"/>
      <c r="DN1009" s="8"/>
      <c r="DO1009" s="8"/>
      <c r="DP1009" s="8"/>
      <c r="DQ1009" s="8"/>
      <c r="DR1009" s="8"/>
      <c r="DS1009" s="8"/>
      <c r="DT1009" s="8"/>
      <c r="DU1009" s="8"/>
      <c r="DV1009" s="8"/>
      <c r="DW1009" s="8"/>
      <c r="DX1009" s="8"/>
      <c r="DY1009" s="8"/>
      <c r="DZ1009" s="8"/>
      <c r="EA1009" s="8"/>
      <c r="EB1009" s="8"/>
      <c r="EC1009" s="8"/>
      <c r="ED1009" s="8"/>
      <c r="EE1009" s="8"/>
      <c r="EF1009" s="8"/>
      <c r="EG1009" s="8"/>
      <c r="EH1009" s="8"/>
      <c r="EI1009" s="8"/>
      <c r="EJ1009" s="8"/>
      <c r="EK1009" s="8"/>
      <c r="EL1009" s="8"/>
      <c r="EM1009" s="8"/>
      <c r="EN1009" s="8"/>
      <c r="EO1009" s="8"/>
      <c r="EP1009" s="8"/>
      <c r="EQ1009" s="8"/>
      <c r="ER1009" s="8"/>
      <c r="ES1009" s="8"/>
      <c r="ET1009" s="8"/>
      <c r="EU1009" s="8"/>
      <c r="EV1009" s="8"/>
      <c r="EW1009" s="8"/>
      <c r="EX1009" s="8"/>
      <c r="EY1009" s="8"/>
      <c r="EZ1009" s="8"/>
      <c r="FA1009" s="8"/>
      <c r="FB1009" s="8"/>
      <c r="FC1009" s="8"/>
      <c r="FD1009" s="8"/>
      <c r="FE1009" s="8"/>
      <c r="FF1009" s="8"/>
      <c r="FG1009" s="8"/>
      <c r="FH1009" s="8"/>
      <c r="FI1009" s="8"/>
      <c r="FJ1009" s="8"/>
      <c r="FK1009" s="8"/>
      <c r="FL1009" s="8"/>
      <c r="FM1009" s="8"/>
      <c r="FN1009" s="8"/>
      <c r="FO1009" s="8"/>
      <c r="FP1009" s="8"/>
      <c r="FQ1009" s="8"/>
      <c r="FR1009" s="8"/>
      <c r="FS1009" s="8"/>
      <c r="FT1009" s="8"/>
      <c r="FU1009" s="8"/>
      <c r="FV1009" s="8"/>
      <c r="FW1009" s="8"/>
      <c r="FX1009" s="8"/>
      <c r="FY1009" s="8"/>
      <c r="FZ1009" s="8"/>
      <c r="GA1009" s="8"/>
      <c r="GB1009" s="8"/>
      <c r="GC1009" s="8"/>
      <c r="GD1009" s="8"/>
      <c r="GE1009" s="8"/>
      <c r="GF1009" s="8"/>
      <c r="GG1009" s="8"/>
      <c r="GH1009" s="8"/>
      <c r="GI1009" s="8"/>
      <c r="GJ1009" s="8"/>
      <c r="GK1009" s="8"/>
      <c r="GL1009" s="8"/>
      <c r="GM1009" s="8"/>
      <c r="GN1009" s="8"/>
      <c r="GO1009" s="8"/>
      <c r="GP1009" s="8"/>
      <c r="GQ1009" s="8"/>
      <c r="GR1009" s="8"/>
      <c r="GS1009" s="8"/>
      <c r="GT1009" s="8"/>
      <c r="GU1009" s="8"/>
      <c r="GV1009" s="8"/>
      <c r="GW1009" s="8"/>
      <c r="GX1009" s="8"/>
      <c r="GY1009" s="8"/>
      <c r="GZ1009" s="8"/>
      <c r="HA1009" s="8"/>
      <c r="HB1009" s="8"/>
      <c r="HC1009" s="8"/>
      <c r="HD1009" s="8"/>
      <c r="HE1009" s="8"/>
      <c r="HF1009" s="8"/>
      <c r="HG1009" s="8"/>
      <c r="HH1009" s="8"/>
      <c r="HI1009" s="8"/>
      <c r="HJ1009" s="8"/>
      <c r="HK1009" s="8"/>
      <c r="HL1009" s="8"/>
      <c r="HM1009" s="8"/>
      <c r="HN1009" s="8"/>
      <c r="HO1009" s="8"/>
      <c r="HP1009" s="8"/>
      <c r="HQ1009" s="8"/>
      <c r="HR1009" s="8"/>
      <c r="HS1009" s="8"/>
      <c r="HT1009" s="8"/>
      <c r="HU1009" s="8"/>
      <c r="HV1009" s="8"/>
      <c r="HW1009" s="8"/>
      <c r="HX1009" s="8"/>
      <c r="HY1009" s="8"/>
      <c r="HZ1009" s="8"/>
      <c r="IA1009" s="8"/>
      <c r="IB1009" s="8"/>
      <c r="IC1009" s="8"/>
      <c r="ID1009" s="8"/>
      <c r="IE1009" s="8"/>
      <c r="IF1009" s="8"/>
    </row>
    <row r="1010" spans="1:240" ht="30" customHeight="1">
      <c r="A1010" s="5">
        <v>1008</v>
      </c>
      <c r="B1010" s="5"/>
      <c r="C1010" s="5"/>
      <c r="D1010" s="5" t="s">
        <v>68</v>
      </c>
      <c r="E1010" s="5">
        <v>1740</v>
      </c>
      <c r="F1010" s="5">
        <v>1740</v>
      </c>
      <c r="G1010" s="5">
        <v>3140</v>
      </c>
      <c r="H1010" s="5">
        <v>410</v>
      </c>
      <c r="I1010" s="5" t="s">
        <v>13</v>
      </c>
      <c r="J1010" s="5">
        <v>70</v>
      </c>
      <c r="K1010" s="17">
        <v>6</v>
      </c>
      <c r="L1010" s="5">
        <v>488.37</v>
      </c>
      <c r="M1010" s="5" t="s">
        <v>48</v>
      </c>
      <c r="N1010" s="5">
        <v>40</v>
      </c>
      <c r="O1010" s="5">
        <v>36000</v>
      </c>
      <c r="P1010" s="5"/>
      <c r="Q1010" s="5"/>
      <c r="R1010" s="5">
        <v>1</v>
      </c>
      <c r="S1010" s="5" t="s">
        <v>48</v>
      </c>
      <c r="T1010" s="5" t="s">
        <v>48</v>
      </c>
      <c r="U1010" s="5" t="s">
        <v>48</v>
      </c>
      <c r="V1010" s="5">
        <v>4</v>
      </c>
      <c r="W1010" s="5" t="s">
        <v>47</v>
      </c>
      <c r="X1010" s="5">
        <v>57</v>
      </c>
      <c r="Y1010" s="5" t="s">
        <v>48</v>
      </c>
      <c r="Z1010" s="5" t="s">
        <v>48</v>
      </c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  <c r="BY1010" s="8"/>
      <c r="BZ1010" s="8"/>
      <c r="CA1010" s="8"/>
      <c r="CB1010" s="8"/>
      <c r="CC1010" s="8"/>
      <c r="CD1010" s="8"/>
      <c r="CE1010" s="8"/>
      <c r="CF1010" s="8"/>
      <c r="CG1010" s="8"/>
      <c r="CH1010" s="8"/>
      <c r="CI1010" s="8"/>
      <c r="CJ1010" s="8"/>
      <c r="CK1010" s="8"/>
      <c r="CL1010" s="8"/>
      <c r="CM1010" s="8"/>
      <c r="CN1010" s="8"/>
      <c r="CO1010" s="8"/>
      <c r="CP1010" s="8"/>
      <c r="CQ1010" s="8"/>
      <c r="CR1010" s="8"/>
      <c r="CS1010" s="8"/>
      <c r="CT1010" s="8"/>
      <c r="CU1010" s="8"/>
      <c r="CV1010" s="8"/>
      <c r="CW1010" s="8"/>
      <c r="CX1010" s="8"/>
      <c r="CY1010" s="8"/>
      <c r="CZ1010" s="8"/>
      <c r="DA1010" s="8"/>
      <c r="DB1010" s="8"/>
      <c r="DC1010" s="8"/>
      <c r="DD1010" s="8"/>
      <c r="DE1010" s="8"/>
      <c r="DF1010" s="8"/>
      <c r="DG1010" s="8"/>
      <c r="DH1010" s="8"/>
      <c r="DI1010" s="8"/>
      <c r="DJ1010" s="8"/>
      <c r="DK1010" s="8"/>
      <c r="DL1010" s="8"/>
      <c r="DM1010" s="8"/>
      <c r="DN1010" s="8"/>
      <c r="DO1010" s="8"/>
      <c r="DP1010" s="8"/>
      <c r="DQ1010" s="8"/>
      <c r="DR1010" s="8"/>
      <c r="DS1010" s="8"/>
      <c r="DT1010" s="8"/>
      <c r="DU1010" s="8"/>
      <c r="DV1010" s="8"/>
      <c r="DW1010" s="8"/>
      <c r="DX1010" s="8"/>
      <c r="DY1010" s="8"/>
      <c r="DZ1010" s="8"/>
      <c r="EA1010" s="8"/>
      <c r="EB1010" s="8"/>
      <c r="EC1010" s="8"/>
      <c r="ED1010" s="8"/>
      <c r="EE1010" s="8"/>
      <c r="EF1010" s="8"/>
      <c r="EG1010" s="8"/>
      <c r="EH1010" s="8"/>
      <c r="EI1010" s="8"/>
      <c r="EJ1010" s="8"/>
      <c r="EK1010" s="8"/>
      <c r="EL1010" s="8"/>
      <c r="EM1010" s="8"/>
      <c r="EN1010" s="8"/>
      <c r="EO1010" s="8"/>
      <c r="EP1010" s="8"/>
      <c r="EQ1010" s="8"/>
      <c r="ER1010" s="8"/>
      <c r="ES1010" s="8"/>
      <c r="ET1010" s="8"/>
      <c r="EU1010" s="8"/>
      <c r="EV1010" s="8"/>
      <c r="EW1010" s="8"/>
      <c r="EX1010" s="8"/>
      <c r="EY1010" s="8"/>
      <c r="EZ1010" s="8"/>
      <c r="FA1010" s="8"/>
      <c r="FB1010" s="8"/>
      <c r="FC1010" s="8"/>
      <c r="FD1010" s="8"/>
      <c r="FE1010" s="8"/>
      <c r="FF1010" s="8"/>
      <c r="FG1010" s="8"/>
      <c r="FH1010" s="8"/>
      <c r="FI1010" s="8"/>
      <c r="FJ1010" s="8"/>
      <c r="FK1010" s="8"/>
      <c r="FL1010" s="8"/>
      <c r="FM1010" s="8"/>
      <c r="FN1010" s="8"/>
      <c r="FO1010" s="8"/>
      <c r="FP1010" s="8"/>
      <c r="FQ1010" s="8"/>
      <c r="FR1010" s="8"/>
      <c r="FS1010" s="8"/>
      <c r="FT1010" s="8"/>
      <c r="FU1010" s="8"/>
      <c r="FV1010" s="8"/>
      <c r="FW1010" s="8"/>
      <c r="FX1010" s="8"/>
      <c r="FY1010" s="8"/>
      <c r="FZ1010" s="8"/>
      <c r="GA1010" s="8"/>
      <c r="GB1010" s="8"/>
      <c r="GC1010" s="8"/>
      <c r="GD1010" s="8"/>
      <c r="GE1010" s="8"/>
      <c r="GF1010" s="8"/>
      <c r="GG1010" s="8"/>
      <c r="GH1010" s="8"/>
      <c r="GI1010" s="8"/>
      <c r="GJ1010" s="8"/>
      <c r="GK1010" s="8"/>
      <c r="GL1010" s="8"/>
      <c r="GM1010" s="8"/>
      <c r="GN1010" s="8"/>
      <c r="GO1010" s="8"/>
      <c r="GP1010" s="8"/>
      <c r="GQ1010" s="8"/>
      <c r="GR1010" s="8"/>
      <c r="GS1010" s="8"/>
      <c r="GT1010" s="8"/>
      <c r="GU1010" s="8"/>
      <c r="GV1010" s="8"/>
      <c r="GW1010" s="8"/>
      <c r="GX1010" s="8"/>
      <c r="GY1010" s="8"/>
      <c r="GZ1010" s="8"/>
      <c r="HA1010" s="8"/>
      <c r="HB1010" s="8"/>
      <c r="HC1010" s="8"/>
      <c r="HD1010" s="8"/>
      <c r="HE1010" s="8"/>
      <c r="HF1010" s="8"/>
      <c r="HG1010" s="8"/>
      <c r="HH1010" s="8"/>
      <c r="HI1010" s="8"/>
      <c r="HJ1010" s="8"/>
      <c r="HK1010" s="8"/>
      <c r="HL1010" s="8"/>
      <c r="HM1010" s="8"/>
      <c r="HN1010" s="8"/>
      <c r="HO1010" s="8"/>
      <c r="HP1010" s="8"/>
      <c r="HQ1010" s="8"/>
      <c r="HR1010" s="8"/>
      <c r="HS1010" s="8"/>
      <c r="HT1010" s="8"/>
      <c r="HU1010" s="8"/>
      <c r="HV1010" s="8"/>
      <c r="HW1010" s="8"/>
      <c r="HX1010" s="8"/>
      <c r="HY1010" s="8"/>
      <c r="HZ1010" s="8"/>
      <c r="IA1010" s="8"/>
      <c r="IB1010" s="8"/>
      <c r="IC1010" s="8"/>
      <c r="ID1010" s="8"/>
      <c r="IE1010" s="8"/>
      <c r="IF1010" s="8"/>
    </row>
    <row r="1011" spans="1:240" ht="30" customHeight="1">
      <c r="A1011" s="5">
        <v>1009</v>
      </c>
      <c r="B1011" s="5"/>
      <c r="C1011" s="5"/>
      <c r="D1011" s="5" t="s">
        <v>68</v>
      </c>
      <c r="E1011" s="5">
        <v>1900</v>
      </c>
      <c r="F1011" s="5">
        <v>2100</v>
      </c>
      <c r="G1011" s="5">
        <v>3380</v>
      </c>
      <c r="H1011" s="5">
        <v>500</v>
      </c>
      <c r="I1011" s="5" t="s">
        <v>13</v>
      </c>
      <c r="J1011" s="5">
        <v>82.3</v>
      </c>
      <c r="K1011" s="17">
        <v>6</v>
      </c>
      <c r="L1011" s="5">
        <v>574.19000000000005</v>
      </c>
      <c r="M1011" s="5" t="s">
        <v>48</v>
      </c>
      <c r="N1011" s="5">
        <v>55</v>
      </c>
      <c r="O1011" s="5">
        <v>45000</v>
      </c>
      <c r="P1011" s="5"/>
      <c r="Q1011" s="5"/>
      <c r="R1011" s="5">
        <v>1</v>
      </c>
      <c r="S1011" s="5" t="s">
        <v>48</v>
      </c>
      <c r="T1011" s="5" t="s">
        <v>48</v>
      </c>
      <c r="U1011" s="5" t="s">
        <v>48</v>
      </c>
      <c r="V1011" s="5">
        <v>4</v>
      </c>
      <c r="W1011" s="5" t="s">
        <v>47</v>
      </c>
      <c r="X1011" s="5">
        <v>58</v>
      </c>
      <c r="Y1011" s="5" t="s">
        <v>48</v>
      </c>
      <c r="Z1011" s="5" t="s">
        <v>48</v>
      </c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  <c r="BY1011" s="8"/>
      <c r="BZ1011" s="8"/>
      <c r="CA1011" s="8"/>
      <c r="CB1011" s="8"/>
      <c r="CC1011" s="8"/>
      <c r="CD1011" s="8"/>
      <c r="CE1011" s="8"/>
      <c r="CF1011" s="8"/>
      <c r="CG1011" s="8"/>
      <c r="CH1011" s="8"/>
      <c r="CI1011" s="8"/>
      <c r="CJ1011" s="8"/>
      <c r="CK1011" s="8"/>
      <c r="CL1011" s="8"/>
      <c r="CM1011" s="8"/>
      <c r="CN1011" s="8"/>
      <c r="CO1011" s="8"/>
      <c r="CP1011" s="8"/>
      <c r="CQ1011" s="8"/>
      <c r="CR1011" s="8"/>
      <c r="CS1011" s="8"/>
      <c r="CT1011" s="8"/>
      <c r="CU1011" s="8"/>
      <c r="CV1011" s="8"/>
      <c r="CW1011" s="8"/>
      <c r="CX1011" s="8"/>
      <c r="CY1011" s="8"/>
      <c r="CZ1011" s="8"/>
      <c r="DA1011" s="8"/>
      <c r="DB1011" s="8"/>
      <c r="DC1011" s="8"/>
      <c r="DD1011" s="8"/>
      <c r="DE1011" s="8"/>
      <c r="DF1011" s="8"/>
      <c r="DG1011" s="8"/>
      <c r="DH1011" s="8"/>
      <c r="DI1011" s="8"/>
      <c r="DJ1011" s="8"/>
      <c r="DK1011" s="8"/>
      <c r="DL1011" s="8"/>
      <c r="DM1011" s="8"/>
      <c r="DN1011" s="8"/>
      <c r="DO1011" s="8"/>
      <c r="DP1011" s="8"/>
      <c r="DQ1011" s="8"/>
      <c r="DR1011" s="8"/>
      <c r="DS1011" s="8"/>
      <c r="DT1011" s="8"/>
      <c r="DU1011" s="8"/>
      <c r="DV1011" s="8"/>
      <c r="DW1011" s="8"/>
      <c r="DX1011" s="8"/>
      <c r="DY1011" s="8"/>
      <c r="DZ1011" s="8"/>
      <c r="EA1011" s="8"/>
      <c r="EB1011" s="8"/>
      <c r="EC1011" s="8"/>
      <c r="ED1011" s="8"/>
      <c r="EE1011" s="8"/>
      <c r="EF1011" s="8"/>
      <c r="EG1011" s="8"/>
      <c r="EH1011" s="8"/>
      <c r="EI1011" s="8"/>
      <c r="EJ1011" s="8"/>
      <c r="EK1011" s="8"/>
      <c r="EL1011" s="8"/>
      <c r="EM1011" s="8"/>
      <c r="EN1011" s="8"/>
      <c r="EO1011" s="8"/>
      <c r="EP1011" s="8"/>
      <c r="EQ1011" s="8"/>
      <c r="ER1011" s="8"/>
      <c r="ES1011" s="8"/>
      <c r="ET1011" s="8"/>
      <c r="EU1011" s="8"/>
      <c r="EV1011" s="8"/>
      <c r="EW1011" s="8"/>
      <c r="EX1011" s="8"/>
      <c r="EY1011" s="8"/>
      <c r="EZ1011" s="8"/>
      <c r="FA1011" s="8"/>
      <c r="FB1011" s="8"/>
      <c r="FC1011" s="8"/>
      <c r="FD1011" s="8"/>
      <c r="FE1011" s="8"/>
      <c r="FF1011" s="8"/>
      <c r="FG1011" s="8"/>
      <c r="FH1011" s="8"/>
      <c r="FI1011" s="8"/>
      <c r="FJ1011" s="8"/>
      <c r="FK1011" s="8"/>
      <c r="FL1011" s="8"/>
      <c r="FM1011" s="8"/>
      <c r="FN1011" s="8"/>
      <c r="FO1011" s="8"/>
      <c r="FP1011" s="8"/>
      <c r="FQ1011" s="8"/>
      <c r="FR1011" s="8"/>
      <c r="FS1011" s="8"/>
      <c r="FT1011" s="8"/>
      <c r="FU1011" s="8"/>
      <c r="FV1011" s="8"/>
      <c r="FW1011" s="8"/>
      <c r="FX1011" s="8"/>
      <c r="FY1011" s="8"/>
      <c r="FZ1011" s="8"/>
      <c r="GA1011" s="8"/>
      <c r="GB1011" s="8"/>
      <c r="GC1011" s="8"/>
      <c r="GD1011" s="8"/>
      <c r="GE1011" s="8"/>
      <c r="GF1011" s="8"/>
      <c r="GG1011" s="8"/>
      <c r="GH1011" s="8"/>
      <c r="GI1011" s="8"/>
      <c r="GJ1011" s="8"/>
      <c r="GK1011" s="8"/>
      <c r="GL1011" s="8"/>
      <c r="GM1011" s="8"/>
      <c r="GN1011" s="8"/>
      <c r="GO1011" s="8"/>
      <c r="GP1011" s="8"/>
      <c r="GQ1011" s="8"/>
      <c r="GR1011" s="8"/>
      <c r="GS1011" s="8"/>
      <c r="GT1011" s="8"/>
      <c r="GU1011" s="8"/>
      <c r="GV1011" s="8"/>
      <c r="GW1011" s="8"/>
      <c r="GX1011" s="8"/>
      <c r="GY1011" s="8"/>
      <c r="GZ1011" s="8"/>
      <c r="HA1011" s="8"/>
      <c r="HB1011" s="8"/>
      <c r="HC1011" s="8"/>
      <c r="HD1011" s="8"/>
      <c r="HE1011" s="8"/>
      <c r="HF1011" s="8"/>
      <c r="HG1011" s="8"/>
      <c r="HH1011" s="8"/>
      <c r="HI1011" s="8"/>
      <c r="HJ1011" s="8"/>
      <c r="HK1011" s="8"/>
      <c r="HL1011" s="8"/>
      <c r="HM1011" s="8"/>
      <c r="HN1011" s="8"/>
      <c r="HO1011" s="8"/>
      <c r="HP1011" s="8"/>
      <c r="HQ1011" s="8"/>
      <c r="HR1011" s="8"/>
      <c r="HS1011" s="8"/>
      <c r="HT1011" s="8"/>
      <c r="HU1011" s="8"/>
      <c r="HV1011" s="8"/>
      <c r="HW1011" s="8"/>
      <c r="HX1011" s="8"/>
      <c r="HY1011" s="8"/>
      <c r="HZ1011" s="8"/>
      <c r="IA1011" s="8"/>
      <c r="IB1011" s="8"/>
      <c r="IC1011" s="8"/>
      <c r="ID1011" s="8"/>
      <c r="IE1011" s="8"/>
      <c r="IF1011" s="8"/>
    </row>
    <row r="1012" spans="1:240" ht="30" customHeight="1">
      <c r="A1012" s="5">
        <v>1010</v>
      </c>
      <c r="B1012" s="5"/>
      <c r="C1012" s="5"/>
      <c r="D1012" s="5" t="s">
        <v>68</v>
      </c>
      <c r="E1012" s="5">
        <v>2100</v>
      </c>
      <c r="F1012" s="5">
        <v>2300</v>
      </c>
      <c r="G1012" s="5">
        <v>3450</v>
      </c>
      <c r="H1012" s="5">
        <v>555</v>
      </c>
      <c r="I1012" s="5" t="s">
        <v>13</v>
      </c>
      <c r="J1012" s="5">
        <v>86.7</v>
      </c>
      <c r="K1012" s="17">
        <v>6</v>
      </c>
      <c r="L1012" s="5">
        <v>604.88</v>
      </c>
      <c r="M1012" s="5" t="s">
        <v>48</v>
      </c>
      <c r="N1012" s="5">
        <v>30</v>
      </c>
      <c r="O1012" s="5">
        <v>45000</v>
      </c>
      <c r="P1012" s="5"/>
      <c r="Q1012" s="5"/>
      <c r="R1012" s="5">
        <v>1</v>
      </c>
      <c r="S1012" s="5" t="s">
        <v>48</v>
      </c>
      <c r="T1012" s="5" t="s">
        <v>48</v>
      </c>
      <c r="U1012" s="5" t="s">
        <v>48</v>
      </c>
      <c r="V1012" s="5">
        <v>4</v>
      </c>
      <c r="W1012" s="5" t="s">
        <v>47</v>
      </c>
      <c r="X1012" s="5">
        <v>61</v>
      </c>
      <c r="Y1012" s="5" t="s">
        <v>48</v>
      </c>
      <c r="Z1012" s="5" t="s">
        <v>48</v>
      </c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  <c r="BY1012" s="8"/>
      <c r="BZ1012" s="8"/>
      <c r="CA1012" s="8"/>
      <c r="CB1012" s="8"/>
      <c r="CC1012" s="8"/>
      <c r="CD1012" s="8"/>
      <c r="CE1012" s="8"/>
      <c r="CF1012" s="8"/>
      <c r="CG1012" s="8"/>
      <c r="CH1012" s="8"/>
      <c r="CI1012" s="8"/>
      <c r="CJ1012" s="8"/>
      <c r="CK1012" s="8"/>
      <c r="CL1012" s="8"/>
      <c r="CM1012" s="8"/>
      <c r="CN1012" s="8"/>
      <c r="CO1012" s="8"/>
      <c r="CP1012" s="8"/>
      <c r="CQ1012" s="8"/>
      <c r="CR1012" s="8"/>
      <c r="CS1012" s="8"/>
      <c r="CT1012" s="8"/>
      <c r="CU1012" s="8"/>
      <c r="CV1012" s="8"/>
      <c r="CW1012" s="8"/>
      <c r="CX1012" s="8"/>
      <c r="CY1012" s="8"/>
      <c r="CZ1012" s="8"/>
      <c r="DA1012" s="8"/>
      <c r="DB1012" s="8"/>
      <c r="DC1012" s="8"/>
      <c r="DD1012" s="8"/>
      <c r="DE1012" s="8"/>
      <c r="DF1012" s="8"/>
      <c r="DG1012" s="8"/>
      <c r="DH1012" s="8"/>
      <c r="DI1012" s="8"/>
      <c r="DJ1012" s="8"/>
      <c r="DK1012" s="8"/>
      <c r="DL1012" s="8"/>
      <c r="DM1012" s="8"/>
      <c r="DN1012" s="8"/>
      <c r="DO1012" s="8"/>
      <c r="DP1012" s="8"/>
      <c r="DQ1012" s="8"/>
      <c r="DR1012" s="8"/>
      <c r="DS1012" s="8"/>
      <c r="DT1012" s="8"/>
      <c r="DU1012" s="8"/>
      <c r="DV1012" s="8"/>
      <c r="DW1012" s="8"/>
      <c r="DX1012" s="8"/>
      <c r="DY1012" s="8"/>
      <c r="DZ1012" s="8"/>
      <c r="EA1012" s="8"/>
      <c r="EB1012" s="8"/>
      <c r="EC1012" s="8"/>
      <c r="ED1012" s="8"/>
      <c r="EE1012" s="8"/>
      <c r="EF1012" s="8"/>
      <c r="EG1012" s="8"/>
      <c r="EH1012" s="8"/>
      <c r="EI1012" s="8"/>
      <c r="EJ1012" s="8"/>
      <c r="EK1012" s="8"/>
      <c r="EL1012" s="8"/>
      <c r="EM1012" s="8"/>
      <c r="EN1012" s="8"/>
      <c r="EO1012" s="8"/>
      <c r="EP1012" s="8"/>
      <c r="EQ1012" s="8"/>
      <c r="ER1012" s="8"/>
      <c r="ES1012" s="8"/>
      <c r="ET1012" s="8"/>
      <c r="EU1012" s="8"/>
      <c r="EV1012" s="8"/>
      <c r="EW1012" s="8"/>
      <c r="EX1012" s="8"/>
      <c r="EY1012" s="8"/>
      <c r="EZ1012" s="8"/>
      <c r="FA1012" s="8"/>
      <c r="FB1012" s="8"/>
      <c r="FC1012" s="8"/>
      <c r="FD1012" s="8"/>
      <c r="FE1012" s="8"/>
      <c r="FF1012" s="8"/>
      <c r="FG1012" s="8"/>
      <c r="FH1012" s="8"/>
      <c r="FI1012" s="8"/>
      <c r="FJ1012" s="8"/>
      <c r="FK1012" s="8"/>
      <c r="FL1012" s="8"/>
      <c r="FM1012" s="8"/>
      <c r="FN1012" s="8"/>
      <c r="FO1012" s="8"/>
      <c r="FP1012" s="8"/>
      <c r="FQ1012" s="8"/>
      <c r="FR1012" s="8"/>
      <c r="FS1012" s="8"/>
      <c r="FT1012" s="8"/>
      <c r="FU1012" s="8"/>
      <c r="FV1012" s="8"/>
      <c r="FW1012" s="8"/>
      <c r="FX1012" s="8"/>
      <c r="FY1012" s="8"/>
      <c r="FZ1012" s="8"/>
      <c r="GA1012" s="8"/>
      <c r="GB1012" s="8"/>
      <c r="GC1012" s="8"/>
      <c r="GD1012" s="8"/>
      <c r="GE1012" s="8"/>
      <c r="GF1012" s="8"/>
      <c r="GG1012" s="8"/>
      <c r="GH1012" s="8"/>
      <c r="GI1012" s="8"/>
      <c r="GJ1012" s="8"/>
      <c r="GK1012" s="8"/>
      <c r="GL1012" s="8"/>
      <c r="GM1012" s="8"/>
      <c r="GN1012" s="8"/>
      <c r="GO1012" s="8"/>
      <c r="GP1012" s="8"/>
      <c r="GQ1012" s="8"/>
      <c r="GR1012" s="8"/>
      <c r="GS1012" s="8"/>
      <c r="GT1012" s="8"/>
      <c r="GU1012" s="8"/>
      <c r="GV1012" s="8"/>
      <c r="GW1012" s="8"/>
      <c r="GX1012" s="8"/>
      <c r="GY1012" s="8"/>
      <c r="GZ1012" s="8"/>
      <c r="HA1012" s="8"/>
      <c r="HB1012" s="8"/>
      <c r="HC1012" s="8"/>
      <c r="HD1012" s="8"/>
      <c r="HE1012" s="8"/>
      <c r="HF1012" s="8"/>
      <c r="HG1012" s="8"/>
      <c r="HH1012" s="8"/>
      <c r="HI1012" s="8"/>
      <c r="HJ1012" s="8"/>
      <c r="HK1012" s="8"/>
      <c r="HL1012" s="8"/>
      <c r="HM1012" s="8"/>
      <c r="HN1012" s="8"/>
      <c r="HO1012" s="8"/>
      <c r="HP1012" s="8"/>
      <c r="HQ1012" s="8"/>
      <c r="HR1012" s="8"/>
      <c r="HS1012" s="8"/>
      <c r="HT1012" s="8"/>
      <c r="HU1012" s="8"/>
      <c r="HV1012" s="8"/>
      <c r="HW1012" s="8"/>
      <c r="HX1012" s="8"/>
      <c r="HY1012" s="8"/>
      <c r="HZ1012" s="8"/>
      <c r="IA1012" s="8"/>
      <c r="IB1012" s="8"/>
      <c r="IC1012" s="8"/>
      <c r="ID1012" s="8"/>
      <c r="IE1012" s="8"/>
      <c r="IF1012" s="8"/>
    </row>
    <row r="1013" spans="1:240" ht="30" customHeight="1">
      <c r="A1013" s="5">
        <v>1011</v>
      </c>
      <c r="B1013" s="5"/>
      <c r="C1013" s="5"/>
      <c r="D1013" s="5" t="s">
        <v>68</v>
      </c>
      <c r="E1013" s="5">
        <v>2100</v>
      </c>
      <c r="F1013" s="5">
        <v>2300</v>
      </c>
      <c r="G1013" s="5">
        <v>3450</v>
      </c>
      <c r="H1013" s="5">
        <v>580</v>
      </c>
      <c r="I1013" s="5" t="s">
        <v>13</v>
      </c>
      <c r="J1013" s="5">
        <v>110</v>
      </c>
      <c r="K1013" s="17">
        <v>6</v>
      </c>
      <c r="L1013" s="5">
        <v>767.44</v>
      </c>
      <c r="M1013" s="5" t="s">
        <v>48</v>
      </c>
      <c r="N1013" s="5">
        <v>48</v>
      </c>
      <c r="O1013" s="5">
        <v>59000</v>
      </c>
      <c r="P1013" s="5"/>
      <c r="Q1013" s="5"/>
      <c r="R1013" s="5">
        <v>1</v>
      </c>
      <c r="S1013" s="5" t="s">
        <v>48</v>
      </c>
      <c r="T1013" s="5" t="s">
        <v>48</v>
      </c>
      <c r="U1013" s="5" t="s">
        <v>48</v>
      </c>
      <c r="V1013" s="5">
        <v>5.5</v>
      </c>
      <c r="W1013" s="5" t="s">
        <v>47</v>
      </c>
      <c r="X1013" s="5">
        <v>61</v>
      </c>
      <c r="Y1013" s="5" t="s">
        <v>48</v>
      </c>
      <c r="Z1013" s="5" t="s">
        <v>48</v>
      </c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  <c r="BY1013" s="8"/>
      <c r="BZ1013" s="8"/>
      <c r="CA1013" s="8"/>
      <c r="CB1013" s="8"/>
      <c r="CC1013" s="8"/>
      <c r="CD1013" s="8"/>
      <c r="CE1013" s="8"/>
      <c r="CF1013" s="8"/>
      <c r="CG1013" s="8"/>
      <c r="CH1013" s="8"/>
      <c r="CI1013" s="8"/>
      <c r="CJ1013" s="8"/>
      <c r="CK1013" s="8"/>
      <c r="CL1013" s="8"/>
      <c r="CM1013" s="8"/>
      <c r="CN1013" s="8"/>
      <c r="CO1013" s="8"/>
      <c r="CP1013" s="8"/>
      <c r="CQ1013" s="8"/>
      <c r="CR1013" s="8"/>
      <c r="CS1013" s="8"/>
      <c r="CT1013" s="8"/>
      <c r="CU1013" s="8"/>
      <c r="CV1013" s="8"/>
      <c r="CW1013" s="8"/>
      <c r="CX1013" s="8"/>
      <c r="CY1013" s="8"/>
      <c r="CZ1013" s="8"/>
      <c r="DA1013" s="8"/>
      <c r="DB1013" s="8"/>
      <c r="DC1013" s="8"/>
      <c r="DD1013" s="8"/>
      <c r="DE1013" s="8"/>
      <c r="DF1013" s="8"/>
      <c r="DG1013" s="8"/>
      <c r="DH1013" s="8"/>
      <c r="DI1013" s="8"/>
      <c r="DJ1013" s="8"/>
      <c r="DK1013" s="8"/>
      <c r="DL1013" s="8"/>
      <c r="DM1013" s="8"/>
      <c r="DN1013" s="8"/>
      <c r="DO1013" s="8"/>
      <c r="DP1013" s="8"/>
      <c r="DQ1013" s="8"/>
      <c r="DR1013" s="8"/>
      <c r="DS1013" s="8"/>
      <c r="DT1013" s="8"/>
      <c r="DU1013" s="8"/>
      <c r="DV1013" s="8"/>
      <c r="DW1013" s="8"/>
      <c r="DX1013" s="8"/>
      <c r="DY1013" s="8"/>
      <c r="DZ1013" s="8"/>
      <c r="EA1013" s="8"/>
      <c r="EB1013" s="8"/>
      <c r="EC1013" s="8"/>
      <c r="ED1013" s="8"/>
      <c r="EE1013" s="8"/>
      <c r="EF1013" s="8"/>
      <c r="EG1013" s="8"/>
      <c r="EH1013" s="8"/>
      <c r="EI1013" s="8"/>
      <c r="EJ1013" s="8"/>
      <c r="EK1013" s="8"/>
      <c r="EL1013" s="8"/>
      <c r="EM1013" s="8"/>
      <c r="EN1013" s="8"/>
      <c r="EO1013" s="8"/>
      <c r="EP1013" s="8"/>
      <c r="EQ1013" s="8"/>
      <c r="ER1013" s="8"/>
      <c r="ES1013" s="8"/>
      <c r="ET1013" s="8"/>
      <c r="EU1013" s="8"/>
      <c r="EV1013" s="8"/>
      <c r="EW1013" s="8"/>
      <c r="EX1013" s="8"/>
      <c r="EY1013" s="8"/>
      <c r="EZ1013" s="8"/>
      <c r="FA1013" s="8"/>
      <c r="FB1013" s="8"/>
      <c r="FC1013" s="8"/>
      <c r="FD1013" s="8"/>
      <c r="FE1013" s="8"/>
      <c r="FF1013" s="8"/>
      <c r="FG1013" s="8"/>
      <c r="FH1013" s="8"/>
      <c r="FI1013" s="8"/>
      <c r="FJ1013" s="8"/>
      <c r="FK1013" s="8"/>
      <c r="FL1013" s="8"/>
      <c r="FM1013" s="8"/>
      <c r="FN1013" s="8"/>
      <c r="FO1013" s="8"/>
      <c r="FP1013" s="8"/>
      <c r="FQ1013" s="8"/>
      <c r="FR1013" s="8"/>
      <c r="FS1013" s="8"/>
      <c r="FT1013" s="8"/>
      <c r="FU1013" s="8"/>
      <c r="FV1013" s="8"/>
      <c r="FW1013" s="8"/>
      <c r="FX1013" s="8"/>
      <c r="FY1013" s="8"/>
      <c r="FZ1013" s="8"/>
      <c r="GA1013" s="8"/>
      <c r="GB1013" s="8"/>
      <c r="GC1013" s="8"/>
      <c r="GD1013" s="8"/>
      <c r="GE1013" s="8"/>
      <c r="GF1013" s="8"/>
      <c r="GG1013" s="8"/>
      <c r="GH1013" s="8"/>
      <c r="GI1013" s="8"/>
      <c r="GJ1013" s="8"/>
      <c r="GK1013" s="8"/>
      <c r="GL1013" s="8"/>
      <c r="GM1013" s="8"/>
      <c r="GN1013" s="8"/>
      <c r="GO1013" s="8"/>
      <c r="GP1013" s="8"/>
      <c r="GQ1013" s="8"/>
      <c r="GR1013" s="8"/>
      <c r="GS1013" s="8"/>
      <c r="GT1013" s="8"/>
      <c r="GU1013" s="8"/>
      <c r="GV1013" s="8"/>
      <c r="GW1013" s="8"/>
      <c r="GX1013" s="8"/>
      <c r="GY1013" s="8"/>
      <c r="GZ1013" s="8"/>
      <c r="HA1013" s="8"/>
      <c r="HB1013" s="8"/>
      <c r="HC1013" s="8"/>
      <c r="HD1013" s="8"/>
      <c r="HE1013" s="8"/>
      <c r="HF1013" s="8"/>
      <c r="HG1013" s="8"/>
      <c r="HH1013" s="8"/>
      <c r="HI1013" s="8"/>
      <c r="HJ1013" s="8"/>
      <c r="HK1013" s="8"/>
      <c r="HL1013" s="8"/>
      <c r="HM1013" s="8"/>
      <c r="HN1013" s="8"/>
      <c r="HO1013" s="8"/>
      <c r="HP1013" s="8"/>
      <c r="HQ1013" s="8"/>
      <c r="HR1013" s="8"/>
      <c r="HS1013" s="8"/>
      <c r="HT1013" s="8"/>
      <c r="HU1013" s="8"/>
      <c r="HV1013" s="8"/>
      <c r="HW1013" s="8"/>
      <c r="HX1013" s="8"/>
      <c r="HY1013" s="8"/>
      <c r="HZ1013" s="8"/>
      <c r="IA1013" s="8"/>
      <c r="IB1013" s="8"/>
      <c r="IC1013" s="8"/>
      <c r="ID1013" s="8"/>
      <c r="IE1013" s="8"/>
      <c r="IF1013" s="8"/>
    </row>
    <row r="1014" spans="1:240" ht="30" customHeight="1">
      <c r="A1014" s="5">
        <v>1012</v>
      </c>
      <c r="B1014" s="5"/>
      <c r="C1014" s="5"/>
      <c r="D1014" s="5" t="s">
        <v>68</v>
      </c>
      <c r="E1014" s="5">
        <v>2025</v>
      </c>
      <c r="F1014" s="5">
        <v>2360</v>
      </c>
      <c r="G1014" s="5">
        <v>3685</v>
      </c>
      <c r="H1014" s="5">
        <v>850</v>
      </c>
      <c r="I1014" s="5" t="s">
        <v>13</v>
      </c>
      <c r="J1014" s="5">
        <v>122.8</v>
      </c>
      <c r="K1014" s="17">
        <v>6</v>
      </c>
      <c r="L1014" s="5">
        <v>856.74</v>
      </c>
      <c r="M1014" s="5" t="s">
        <v>48</v>
      </c>
      <c r="N1014" s="5">
        <v>49</v>
      </c>
      <c r="O1014" s="5">
        <v>59000</v>
      </c>
      <c r="P1014" s="5"/>
      <c r="Q1014" s="5"/>
      <c r="R1014" s="5">
        <v>1</v>
      </c>
      <c r="S1014" s="5" t="s">
        <v>48</v>
      </c>
      <c r="T1014" s="5" t="s">
        <v>48</v>
      </c>
      <c r="U1014" s="5" t="s">
        <v>48</v>
      </c>
      <c r="V1014" s="5">
        <v>5.5</v>
      </c>
      <c r="W1014" s="5" t="s">
        <v>47</v>
      </c>
      <c r="X1014" s="5">
        <v>62</v>
      </c>
      <c r="Y1014" s="5" t="s">
        <v>48</v>
      </c>
      <c r="Z1014" s="5" t="s">
        <v>48</v>
      </c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  <c r="BY1014" s="8"/>
      <c r="BZ1014" s="8"/>
      <c r="CA1014" s="8"/>
      <c r="CB1014" s="8"/>
      <c r="CC1014" s="8"/>
      <c r="CD1014" s="8"/>
      <c r="CE1014" s="8"/>
      <c r="CF1014" s="8"/>
      <c r="CG1014" s="8"/>
      <c r="CH1014" s="8"/>
      <c r="CI1014" s="8"/>
      <c r="CJ1014" s="8"/>
      <c r="CK1014" s="8"/>
      <c r="CL1014" s="8"/>
      <c r="CM1014" s="8"/>
      <c r="CN1014" s="8"/>
      <c r="CO1014" s="8"/>
      <c r="CP1014" s="8"/>
      <c r="CQ1014" s="8"/>
      <c r="CR1014" s="8"/>
      <c r="CS1014" s="8"/>
      <c r="CT1014" s="8"/>
      <c r="CU1014" s="8"/>
      <c r="CV1014" s="8"/>
      <c r="CW1014" s="8"/>
      <c r="CX1014" s="8"/>
      <c r="CY1014" s="8"/>
      <c r="CZ1014" s="8"/>
      <c r="DA1014" s="8"/>
      <c r="DB1014" s="8"/>
      <c r="DC1014" s="8"/>
      <c r="DD1014" s="8"/>
      <c r="DE1014" s="8"/>
      <c r="DF1014" s="8"/>
      <c r="DG1014" s="8"/>
      <c r="DH1014" s="8"/>
      <c r="DI1014" s="8"/>
      <c r="DJ1014" s="8"/>
      <c r="DK1014" s="8"/>
      <c r="DL1014" s="8"/>
      <c r="DM1014" s="8"/>
      <c r="DN1014" s="8"/>
      <c r="DO1014" s="8"/>
      <c r="DP1014" s="8"/>
      <c r="DQ1014" s="8"/>
      <c r="DR1014" s="8"/>
      <c r="DS1014" s="8"/>
      <c r="DT1014" s="8"/>
      <c r="DU1014" s="8"/>
      <c r="DV1014" s="8"/>
      <c r="DW1014" s="8"/>
      <c r="DX1014" s="8"/>
      <c r="DY1014" s="8"/>
      <c r="DZ1014" s="8"/>
      <c r="EA1014" s="8"/>
      <c r="EB1014" s="8"/>
      <c r="EC1014" s="8"/>
      <c r="ED1014" s="8"/>
      <c r="EE1014" s="8"/>
      <c r="EF1014" s="8"/>
      <c r="EG1014" s="8"/>
      <c r="EH1014" s="8"/>
      <c r="EI1014" s="8"/>
      <c r="EJ1014" s="8"/>
      <c r="EK1014" s="8"/>
      <c r="EL1014" s="8"/>
      <c r="EM1014" s="8"/>
      <c r="EN1014" s="8"/>
      <c r="EO1014" s="8"/>
      <c r="EP1014" s="8"/>
      <c r="EQ1014" s="8"/>
      <c r="ER1014" s="8"/>
      <c r="ES1014" s="8"/>
      <c r="ET1014" s="8"/>
      <c r="EU1014" s="8"/>
      <c r="EV1014" s="8"/>
      <c r="EW1014" s="8"/>
      <c r="EX1014" s="8"/>
      <c r="EY1014" s="8"/>
      <c r="EZ1014" s="8"/>
      <c r="FA1014" s="8"/>
      <c r="FB1014" s="8"/>
      <c r="FC1014" s="8"/>
      <c r="FD1014" s="8"/>
      <c r="FE1014" s="8"/>
      <c r="FF1014" s="8"/>
      <c r="FG1014" s="8"/>
      <c r="FH1014" s="8"/>
      <c r="FI1014" s="8"/>
      <c r="FJ1014" s="8"/>
      <c r="FK1014" s="8"/>
      <c r="FL1014" s="8"/>
      <c r="FM1014" s="8"/>
      <c r="FN1014" s="8"/>
      <c r="FO1014" s="8"/>
      <c r="FP1014" s="8"/>
      <c r="FQ1014" s="8"/>
      <c r="FR1014" s="8"/>
      <c r="FS1014" s="8"/>
      <c r="FT1014" s="8"/>
      <c r="FU1014" s="8"/>
      <c r="FV1014" s="8"/>
      <c r="FW1014" s="8"/>
      <c r="FX1014" s="8"/>
      <c r="FY1014" s="8"/>
      <c r="FZ1014" s="8"/>
      <c r="GA1014" s="8"/>
      <c r="GB1014" s="8"/>
      <c r="GC1014" s="8"/>
      <c r="GD1014" s="8"/>
      <c r="GE1014" s="8"/>
      <c r="GF1014" s="8"/>
      <c r="GG1014" s="8"/>
      <c r="GH1014" s="8"/>
      <c r="GI1014" s="8"/>
      <c r="GJ1014" s="8"/>
      <c r="GK1014" s="8"/>
      <c r="GL1014" s="8"/>
      <c r="GM1014" s="8"/>
      <c r="GN1014" s="8"/>
      <c r="GO1014" s="8"/>
      <c r="GP1014" s="8"/>
      <c r="GQ1014" s="8"/>
      <c r="GR1014" s="8"/>
      <c r="GS1014" s="8"/>
      <c r="GT1014" s="8"/>
      <c r="GU1014" s="8"/>
      <c r="GV1014" s="8"/>
      <c r="GW1014" s="8"/>
      <c r="GX1014" s="8"/>
      <c r="GY1014" s="8"/>
      <c r="GZ1014" s="8"/>
      <c r="HA1014" s="8"/>
      <c r="HB1014" s="8"/>
      <c r="HC1014" s="8"/>
      <c r="HD1014" s="8"/>
      <c r="HE1014" s="8"/>
      <c r="HF1014" s="8"/>
      <c r="HG1014" s="8"/>
      <c r="HH1014" s="8"/>
      <c r="HI1014" s="8"/>
      <c r="HJ1014" s="8"/>
      <c r="HK1014" s="8"/>
      <c r="HL1014" s="8"/>
      <c r="HM1014" s="8"/>
      <c r="HN1014" s="8"/>
      <c r="HO1014" s="8"/>
      <c r="HP1014" s="8"/>
      <c r="HQ1014" s="8"/>
      <c r="HR1014" s="8"/>
      <c r="HS1014" s="8"/>
      <c r="HT1014" s="8"/>
      <c r="HU1014" s="8"/>
      <c r="HV1014" s="8"/>
      <c r="HW1014" s="8"/>
      <c r="HX1014" s="8"/>
      <c r="HY1014" s="8"/>
      <c r="HZ1014" s="8"/>
      <c r="IA1014" s="8"/>
      <c r="IB1014" s="8"/>
      <c r="IC1014" s="8"/>
      <c r="ID1014" s="8"/>
      <c r="IE1014" s="8"/>
      <c r="IF1014" s="8"/>
    </row>
    <row r="1015" spans="1:240" ht="30" customHeight="1">
      <c r="A1015" s="5">
        <v>1013</v>
      </c>
      <c r="B1015" s="5"/>
      <c r="C1015" s="5"/>
      <c r="D1015" s="5" t="s">
        <v>68</v>
      </c>
      <c r="E1015" s="5">
        <v>2025</v>
      </c>
      <c r="F1015" s="5">
        <v>2360</v>
      </c>
      <c r="G1015" s="5">
        <v>3685</v>
      </c>
      <c r="H1015" s="5">
        <v>815</v>
      </c>
      <c r="I1015" s="5" t="s">
        <v>13</v>
      </c>
      <c r="J1015" s="5">
        <v>135</v>
      </c>
      <c r="K1015" s="17">
        <v>6</v>
      </c>
      <c r="L1015" s="5">
        <v>941.86</v>
      </c>
      <c r="M1015" s="5" t="s">
        <v>48</v>
      </c>
      <c r="N1015" s="5">
        <v>25</v>
      </c>
      <c r="O1015" s="5">
        <v>59000</v>
      </c>
      <c r="P1015" s="5"/>
      <c r="Q1015" s="5"/>
      <c r="R1015" s="5">
        <v>1</v>
      </c>
      <c r="S1015" s="5" t="s">
        <v>48</v>
      </c>
      <c r="T1015" s="5" t="s">
        <v>48</v>
      </c>
      <c r="U1015" s="5" t="s">
        <v>48</v>
      </c>
      <c r="V1015" s="5">
        <v>5.5</v>
      </c>
      <c r="W1015" s="5" t="s">
        <v>47</v>
      </c>
      <c r="X1015" s="5">
        <v>62</v>
      </c>
      <c r="Y1015" s="5" t="s">
        <v>48</v>
      </c>
      <c r="Z1015" s="5" t="s">
        <v>48</v>
      </c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  <c r="BY1015" s="8"/>
      <c r="BZ1015" s="8"/>
      <c r="CA1015" s="8"/>
      <c r="CB1015" s="8"/>
      <c r="CC1015" s="8"/>
      <c r="CD1015" s="8"/>
      <c r="CE1015" s="8"/>
      <c r="CF1015" s="8"/>
      <c r="CG1015" s="8"/>
      <c r="CH1015" s="8"/>
      <c r="CI1015" s="8"/>
      <c r="CJ1015" s="8"/>
      <c r="CK1015" s="8"/>
      <c r="CL1015" s="8"/>
      <c r="CM1015" s="8"/>
      <c r="CN1015" s="8"/>
      <c r="CO1015" s="8"/>
      <c r="CP1015" s="8"/>
      <c r="CQ1015" s="8"/>
      <c r="CR1015" s="8"/>
      <c r="CS1015" s="8"/>
      <c r="CT1015" s="8"/>
      <c r="CU1015" s="8"/>
      <c r="CV1015" s="8"/>
      <c r="CW1015" s="8"/>
      <c r="CX1015" s="8"/>
      <c r="CY1015" s="8"/>
      <c r="CZ1015" s="8"/>
      <c r="DA1015" s="8"/>
      <c r="DB1015" s="8"/>
      <c r="DC1015" s="8"/>
      <c r="DD1015" s="8"/>
      <c r="DE1015" s="8"/>
      <c r="DF1015" s="8"/>
      <c r="DG1015" s="8"/>
      <c r="DH1015" s="8"/>
      <c r="DI1015" s="8"/>
      <c r="DJ1015" s="8"/>
      <c r="DK1015" s="8"/>
      <c r="DL1015" s="8"/>
      <c r="DM1015" s="8"/>
      <c r="DN1015" s="8"/>
      <c r="DO1015" s="8"/>
      <c r="DP1015" s="8"/>
      <c r="DQ1015" s="8"/>
      <c r="DR1015" s="8"/>
      <c r="DS1015" s="8"/>
      <c r="DT1015" s="8"/>
      <c r="DU1015" s="8"/>
      <c r="DV1015" s="8"/>
      <c r="DW1015" s="8"/>
      <c r="DX1015" s="8"/>
      <c r="DY1015" s="8"/>
      <c r="DZ1015" s="8"/>
      <c r="EA1015" s="8"/>
      <c r="EB1015" s="8"/>
      <c r="EC1015" s="8"/>
      <c r="ED1015" s="8"/>
      <c r="EE1015" s="8"/>
      <c r="EF1015" s="8"/>
      <c r="EG1015" s="8"/>
      <c r="EH1015" s="8"/>
      <c r="EI1015" s="8"/>
      <c r="EJ1015" s="8"/>
      <c r="EK1015" s="8"/>
      <c r="EL1015" s="8"/>
      <c r="EM1015" s="8"/>
      <c r="EN1015" s="8"/>
      <c r="EO1015" s="8"/>
      <c r="EP1015" s="8"/>
      <c r="EQ1015" s="8"/>
      <c r="ER1015" s="8"/>
      <c r="ES1015" s="8"/>
      <c r="ET1015" s="8"/>
      <c r="EU1015" s="8"/>
      <c r="EV1015" s="8"/>
      <c r="EW1015" s="8"/>
      <c r="EX1015" s="8"/>
      <c r="EY1015" s="8"/>
      <c r="EZ1015" s="8"/>
      <c r="FA1015" s="8"/>
      <c r="FB1015" s="8"/>
      <c r="FC1015" s="8"/>
      <c r="FD1015" s="8"/>
      <c r="FE1015" s="8"/>
      <c r="FF1015" s="8"/>
      <c r="FG1015" s="8"/>
      <c r="FH1015" s="8"/>
      <c r="FI1015" s="8"/>
      <c r="FJ1015" s="8"/>
      <c r="FK1015" s="8"/>
      <c r="FL1015" s="8"/>
      <c r="FM1015" s="8"/>
      <c r="FN1015" s="8"/>
      <c r="FO1015" s="8"/>
      <c r="FP1015" s="8"/>
      <c r="FQ1015" s="8"/>
      <c r="FR1015" s="8"/>
      <c r="FS1015" s="8"/>
      <c r="FT1015" s="8"/>
      <c r="FU1015" s="8"/>
      <c r="FV1015" s="8"/>
      <c r="FW1015" s="8"/>
      <c r="FX1015" s="8"/>
      <c r="FY1015" s="8"/>
      <c r="FZ1015" s="8"/>
      <c r="GA1015" s="8"/>
      <c r="GB1015" s="8"/>
      <c r="GC1015" s="8"/>
      <c r="GD1015" s="8"/>
      <c r="GE1015" s="8"/>
      <c r="GF1015" s="8"/>
      <c r="GG1015" s="8"/>
      <c r="GH1015" s="8"/>
      <c r="GI1015" s="8"/>
      <c r="GJ1015" s="8"/>
      <c r="GK1015" s="8"/>
      <c r="GL1015" s="8"/>
      <c r="GM1015" s="8"/>
      <c r="GN1015" s="8"/>
      <c r="GO1015" s="8"/>
      <c r="GP1015" s="8"/>
      <c r="GQ1015" s="8"/>
      <c r="GR1015" s="8"/>
      <c r="GS1015" s="8"/>
      <c r="GT1015" s="8"/>
      <c r="GU1015" s="8"/>
      <c r="GV1015" s="8"/>
      <c r="GW1015" s="8"/>
      <c r="GX1015" s="8"/>
      <c r="GY1015" s="8"/>
      <c r="GZ1015" s="8"/>
      <c r="HA1015" s="8"/>
      <c r="HB1015" s="8"/>
      <c r="HC1015" s="8"/>
      <c r="HD1015" s="8"/>
      <c r="HE1015" s="8"/>
      <c r="HF1015" s="8"/>
      <c r="HG1015" s="8"/>
      <c r="HH1015" s="8"/>
      <c r="HI1015" s="8"/>
      <c r="HJ1015" s="8"/>
      <c r="HK1015" s="8"/>
      <c r="HL1015" s="8"/>
      <c r="HM1015" s="8"/>
      <c r="HN1015" s="8"/>
      <c r="HO1015" s="8"/>
      <c r="HP1015" s="8"/>
      <c r="HQ1015" s="8"/>
      <c r="HR1015" s="8"/>
      <c r="HS1015" s="8"/>
      <c r="HT1015" s="8"/>
      <c r="HU1015" s="8"/>
      <c r="HV1015" s="8"/>
      <c r="HW1015" s="8"/>
      <c r="HX1015" s="8"/>
      <c r="HY1015" s="8"/>
      <c r="HZ1015" s="8"/>
      <c r="IA1015" s="8"/>
      <c r="IB1015" s="8"/>
      <c r="IC1015" s="8"/>
      <c r="ID1015" s="8"/>
      <c r="IE1015" s="8"/>
      <c r="IF1015" s="8"/>
    </row>
    <row r="1016" spans="1:240" ht="30" customHeight="1">
      <c r="A1016" s="5">
        <v>1014</v>
      </c>
      <c r="B1016" s="5"/>
      <c r="C1016" s="5"/>
      <c r="D1016" s="5" t="s">
        <v>68</v>
      </c>
      <c r="E1016" s="5">
        <v>2360</v>
      </c>
      <c r="F1016" s="5">
        <v>2380</v>
      </c>
      <c r="G1016" s="5">
        <v>3685</v>
      </c>
      <c r="H1016" s="5">
        <v>915</v>
      </c>
      <c r="I1016" s="5" t="s">
        <v>13</v>
      </c>
      <c r="J1016" s="5">
        <v>155.5</v>
      </c>
      <c r="K1016" s="17">
        <v>6</v>
      </c>
      <c r="L1016" s="5">
        <v>1084.8800000000001</v>
      </c>
      <c r="M1016" s="5" t="s">
        <v>48</v>
      </c>
      <c r="N1016" s="5">
        <v>32</v>
      </c>
      <c r="O1016" s="5">
        <v>70000</v>
      </c>
      <c r="P1016" s="5"/>
      <c r="Q1016" s="5"/>
      <c r="R1016" s="5">
        <v>1</v>
      </c>
      <c r="S1016" s="5" t="s">
        <v>48</v>
      </c>
      <c r="T1016" s="5" t="s">
        <v>48</v>
      </c>
      <c r="U1016" s="5" t="s">
        <v>48</v>
      </c>
      <c r="V1016" s="5">
        <v>7.5</v>
      </c>
      <c r="W1016" s="5" t="s">
        <v>47</v>
      </c>
      <c r="X1016" s="5">
        <v>64</v>
      </c>
      <c r="Y1016" s="5" t="s">
        <v>48</v>
      </c>
      <c r="Z1016" s="5" t="s">
        <v>48</v>
      </c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  <c r="BY1016" s="8"/>
      <c r="BZ1016" s="8"/>
      <c r="CA1016" s="8"/>
      <c r="CB1016" s="8"/>
      <c r="CC1016" s="8"/>
      <c r="CD1016" s="8"/>
      <c r="CE1016" s="8"/>
      <c r="CF1016" s="8"/>
      <c r="CG1016" s="8"/>
      <c r="CH1016" s="8"/>
      <c r="CI1016" s="8"/>
      <c r="CJ1016" s="8"/>
      <c r="CK1016" s="8"/>
      <c r="CL1016" s="8"/>
      <c r="CM1016" s="8"/>
      <c r="CN1016" s="8"/>
      <c r="CO1016" s="8"/>
      <c r="CP1016" s="8"/>
      <c r="CQ1016" s="8"/>
      <c r="CR1016" s="8"/>
      <c r="CS1016" s="8"/>
      <c r="CT1016" s="8"/>
      <c r="CU1016" s="8"/>
      <c r="CV1016" s="8"/>
      <c r="CW1016" s="8"/>
      <c r="CX1016" s="8"/>
      <c r="CY1016" s="8"/>
      <c r="CZ1016" s="8"/>
      <c r="DA1016" s="8"/>
      <c r="DB1016" s="8"/>
      <c r="DC1016" s="8"/>
      <c r="DD1016" s="8"/>
      <c r="DE1016" s="8"/>
      <c r="DF1016" s="8"/>
      <c r="DG1016" s="8"/>
      <c r="DH1016" s="8"/>
      <c r="DI1016" s="8"/>
      <c r="DJ1016" s="8"/>
      <c r="DK1016" s="8"/>
      <c r="DL1016" s="8"/>
      <c r="DM1016" s="8"/>
      <c r="DN1016" s="8"/>
      <c r="DO1016" s="8"/>
      <c r="DP1016" s="8"/>
      <c r="DQ1016" s="8"/>
      <c r="DR1016" s="8"/>
      <c r="DS1016" s="8"/>
      <c r="DT1016" s="8"/>
      <c r="DU1016" s="8"/>
      <c r="DV1016" s="8"/>
      <c r="DW1016" s="8"/>
      <c r="DX1016" s="8"/>
      <c r="DY1016" s="8"/>
      <c r="DZ1016" s="8"/>
      <c r="EA1016" s="8"/>
      <c r="EB1016" s="8"/>
      <c r="EC1016" s="8"/>
      <c r="ED1016" s="8"/>
      <c r="EE1016" s="8"/>
      <c r="EF1016" s="8"/>
      <c r="EG1016" s="8"/>
      <c r="EH1016" s="8"/>
      <c r="EI1016" s="8"/>
      <c r="EJ1016" s="8"/>
      <c r="EK1016" s="8"/>
      <c r="EL1016" s="8"/>
      <c r="EM1016" s="8"/>
      <c r="EN1016" s="8"/>
      <c r="EO1016" s="8"/>
      <c r="EP1016" s="8"/>
      <c r="EQ1016" s="8"/>
      <c r="ER1016" s="8"/>
      <c r="ES1016" s="8"/>
      <c r="ET1016" s="8"/>
      <c r="EU1016" s="8"/>
      <c r="EV1016" s="8"/>
      <c r="EW1016" s="8"/>
      <c r="EX1016" s="8"/>
      <c r="EY1016" s="8"/>
      <c r="EZ1016" s="8"/>
      <c r="FA1016" s="8"/>
      <c r="FB1016" s="8"/>
      <c r="FC1016" s="8"/>
      <c r="FD1016" s="8"/>
      <c r="FE1016" s="8"/>
      <c r="FF1016" s="8"/>
      <c r="FG1016" s="8"/>
      <c r="FH1016" s="8"/>
      <c r="FI1016" s="8"/>
      <c r="FJ1016" s="8"/>
      <c r="FK1016" s="8"/>
      <c r="FL1016" s="8"/>
      <c r="FM1016" s="8"/>
      <c r="FN1016" s="8"/>
      <c r="FO1016" s="8"/>
      <c r="FP1016" s="8"/>
      <c r="FQ1016" s="8"/>
      <c r="FR1016" s="8"/>
      <c r="FS1016" s="8"/>
      <c r="FT1016" s="8"/>
      <c r="FU1016" s="8"/>
      <c r="FV1016" s="8"/>
      <c r="FW1016" s="8"/>
      <c r="FX1016" s="8"/>
      <c r="FY1016" s="8"/>
      <c r="FZ1016" s="8"/>
      <c r="GA1016" s="8"/>
      <c r="GB1016" s="8"/>
      <c r="GC1016" s="8"/>
      <c r="GD1016" s="8"/>
      <c r="GE1016" s="8"/>
      <c r="GF1016" s="8"/>
      <c r="GG1016" s="8"/>
      <c r="GH1016" s="8"/>
      <c r="GI1016" s="8"/>
      <c r="GJ1016" s="8"/>
      <c r="GK1016" s="8"/>
      <c r="GL1016" s="8"/>
      <c r="GM1016" s="8"/>
      <c r="GN1016" s="8"/>
      <c r="GO1016" s="8"/>
      <c r="GP1016" s="8"/>
      <c r="GQ1016" s="8"/>
      <c r="GR1016" s="8"/>
      <c r="GS1016" s="8"/>
      <c r="GT1016" s="8"/>
      <c r="GU1016" s="8"/>
      <c r="GV1016" s="8"/>
      <c r="GW1016" s="8"/>
      <c r="GX1016" s="8"/>
      <c r="GY1016" s="8"/>
      <c r="GZ1016" s="8"/>
      <c r="HA1016" s="8"/>
      <c r="HB1016" s="8"/>
      <c r="HC1016" s="8"/>
      <c r="HD1016" s="8"/>
      <c r="HE1016" s="8"/>
      <c r="HF1016" s="8"/>
      <c r="HG1016" s="8"/>
      <c r="HH1016" s="8"/>
      <c r="HI1016" s="8"/>
      <c r="HJ1016" s="8"/>
      <c r="HK1016" s="8"/>
      <c r="HL1016" s="8"/>
      <c r="HM1016" s="8"/>
      <c r="HN1016" s="8"/>
      <c r="HO1016" s="8"/>
      <c r="HP1016" s="8"/>
      <c r="HQ1016" s="8"/>
      <c r="HR1016" s="8"/>
      <c r="HS1016" s="8"/>
      <c r="HT1016" s="8"/>
      <c r="HU1016" s="8"/>
      <c r="HV1016" s="8"/>
      <c r="HW1016" s="8"/>
      <c r="HX1016" s="8"/>
      <c r="HY1016" s="8"/>
      <c r="HZ1016" s="8"/>
      <c r="IA1016" s="8"/>
      <c r="IB1016" s="8"/>
      <c r="IC1016" s="8"/>
      <c r="ID1016" s="8"/>
      <c r="IE1016" s="8"/>
      <c r="IF1016" s="8"/>
    </row>
    <row r="1017" spans="1:240" ht="30" customHeight="1">
      <c r="A1017" s="5">
        <v>1015</v>
      </c>
      <c r="B1017" s="5"/>
      <c r="C1017" s="5"/>
      <c r="D1017" s="5" t="s">
        <v>68</v>
      </c>
      <c r="E1017" s="5">
        <v>1988</v>
      </c>
      <c r="F1017" s="5">
        <v>3912</v>
      </c>
      <c r="G1017" s="5">
        <v>3105</v>
      </c>
      <c r="H1017" s="5">
        <v>3578</v>
      </c>
      <c r="I1017" s="5" t="s">
        <v>13</v>
      </c>
      <c r="J1017" s="5"/>
      <c r="K1017" s="17"/>
      <c r="L1017" s="5">
        <v>444</v>
      </c>
      <c r="M1017" s="5" t="s">
        <v>48</v>
      </c>
      <c r="N1017" s="5"/>
      <c r="O1017" s="5"/>
      <c r="P1017" s="5"/>
      <c r="Q1017" s="5"/>
      <c r="R1017" s="5"/>
      <c r="S1017" s="5"/>
      <c r="T1017" s="5" t="s">
        <v>48</v>
      </c>
      <c r="U1017" s="5" t="s">
        <v>48</v>
      </c>
      <c r="V1017" s="5">
        <v>1.5</v>
      </c>
      <c r="W1017" s="5" t="s">
        <v>48</v>
      </c>
      <c r="X1017" s="5" t="s">
        <v>49</v>
      </c>
      <c r="Y1017" s="5" t="s">
        <v>48</v>
      </c>
      <c r="Z1017" s="5" t="s">
        <v>48</v>
      </c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  <c r="BY1017" s="8"/>
      <c r="BZ1017" s="8"/>
      <c r="CA1017" s="8"/>
      <c r="CB1017" s="8"/>
      <c r="CC1017" s="8"/>
      <c r="CD1017" s="8"/>
      <c r="CE1017" s="8"/>
      <c r="CF1017" s="8"/>
      <c r="CG1017" s="8"/>
      <c r="CH1017" s="8"/>
      <c r="CI1017" s="8"/>
      <c r="CJ1017" s="8"/>
      <c r="CK1017" s="8"/>
      <c r="CL1017" s="8"/>
      <c r="CM1017" s="8"/>
      <c r="CN1017" s="8"/>
      <c r="CO1017" s="8"/>
      <c r="CP1017" s="8"/>
      <c r="CQ1017" s="8"/>
      <c r="CR1017" s="8"/>
      <c r="CS1017" s="8"/>
      <c r="CT1017" s="8"/>
      <c r="CU1017" s="8"/>
      <c r="CV1017" s="8"/>
      <c r="CW1017" s="8"/>
      <c r="CX1017" s="8"/>
      <c r="CY1017" s="8"/>
      <c r="CZ1017" s="8"/>
      <c r="DA1017" s="8"/>
      <c r="DB1017" s="8"/>
      <c r="DC1017" s="8"/>
      <c r="DD1017" s="8"/>
      <c r="DE1017" s="8"/>
      <c r="DF1017" s="8"/>
      <c r="DG1017" s="8"/>
      <c r="DH1017" s="8"/>
      <c r="DI1017" s="8"/>
      <c r="DJ1017" s="8"/>
      <c r="DK1017" s="8"/>
      <c r="DL1017" s="8"/>
      <c r="DM1017" s="8"/>
      <c r="DN1017" s="8"/>
      <c r="DO1017" s="8"/>
      <c r="DP1017" s="8"/>
      <c r="DQ1017" s="8"/>
      <c r="DR1017" s="8"/>
      <c r="DS1017" s="8"/>
      <c r="DT1017" s="8"/>
      <c r="DU1017" s="8"/>
      <c r="DV1017" s="8"/>
      <c r="DW1017" s="8"/>
      <c r="DX1017" s="8"/>
      <c r="DY1017" s="8"/>
      <c r="DZ1017" s="8"/>
      <c r="EA1017" s="8"/>
      <c r="EB1017" s="8"/>
      <c r="EC1017" s="8"/>
      <c r="ED1017" s="8"/>
      <c r="EE1017" s="8"/>
      <c r="EF1017" s="8"/>
      <c r="EG1017" s="8"/>
      <c r="EH1017" s="8"/>
      <c r="EI1017" s="8"/>
      <c r="EJ1017" s="8"/>
      <c r="EK1017" s="8"/>
      <c r="EL1017" s="8"/>
      <c r="EM1017" s="8"/>
      <c r="EN1017" s="8"/>
      <c r="EO1017" s="8"/>
      <c r="EP1017" s="8"/>
      <c r="EQ1017" s="8"/>
      <c r="ER1017" s="8"/>
      <c r="ES1017" s="8"/>
      <c r="ET1017" s="8"/>
      <c r="EU1017" s="8"/>
      <c r="EV1017" s="8"/>
      <c r="EW1017" s="8"/>
      <c r="EX1017" s="8"/>
      <c r="EY1017" s="8"/>
      <c r="EZ1017" s="8"/>
      <c r="FA1017" s="8"/>
      <c r="FB1017" s="8"/>
      <c r="FC1017" s="8"/>
      <c r="FD1017" s="8"/>
      <c r="FE1017" s="8"/>
      <c r="FF1017" s="8"/>
      <c r="FG1017" s="8"/>
      <c r="FH1017" s="8"/>
      <c r="FI1017" s="8"/>
      <c r="FJ1017" s="8"/>
      <c r="FK1017" s="8"/>
      <c r="FL1017" s="8"/>
      <c r="FM1017" s="8"/>
      <c r="FN1017" s="8"/>
      <c r="FO1017" s="8"/>
      <c r="FP1017" s="8"/>
      <c r="FQ1017" s="8"/>
      <c r="FR1017" s="8"/>
      <c r="FS1017" s="8"/>
      <c r="FT1017" s="8"/>
      <c r="FU1017" s="8"/>
      <c r="FV1017" s="8"/>
      <c r="FW1017" s="8"/>
      <c r="FX1017" s="8"/>
      <c r="FY1017" s="8"/>
      <c r="FZ1017" s="8"/>
      <c r="GA1017" s="8"/>
      <c r="GB1017" s="8"/>
      <c r="GC1017" s="8"/>
      <c r="GD1017" s="8"/>
      <c r="GE1017" s="8"/>
      <c r="GF1017" s="8"/>
      <c r="GG1017" s="8"/>
      <c r="GH1017" s="8"/>
      <c r="GI1017" s="8"/>
      <c r="GJ1017" s="8"/>
      <c r="GK1017" s="8"/>
      <c r="GL1017" s="8"/>
      <c r="GM1017" s="8"/>
      <c r="GN1017" s="8"/>
      <c r="GO1017" s="8"/>
      <c r="GP1017" s="8"/>
      <c r="GQ1017" s="8"/>
      <c r="GR1017" s="8"/>
      <c r="GS1017" s="8"/>
      <c r="GT1017" s="8"/>
      <c r="GU1017" s="8"/>
      <c r="GV1017" s="8"/>
      <c r="GW1017" s="8"/>
      <c r="GX1017" s="8"/>
      <c r="GY1017" s="8"/>
      <c r="GZ1017" s="8"/>
      <c r="HA1017" s="8"/>
      <c r="HB1017" s="8"/>
      <c r="HC1017" s="8"/>
      <c r="HD1017" s="8"/>
      <c r="HE1017" s="8"/>
      <c r="HF1017" s="8"/>
      <c r="HG1017" s="8"/>
      <c r="HH1017" s="8"/>
      <c r="HI1017" s="8"/>
      <c r="HJ1017" s="8"/>
      <c r="HK1017" s="8"/>
      <c r="HL1017" s="8"/>
      <c r="HM1017" s="8"/>
      <c r="HN1017" s="8"/>
      <c r="HO1017" s="8"/>
      <c r="HP1017" s="8"/>
      <c r="HQ1017" s="8"/>
      <c r="HR1017" s="8"/>
      <c r="HS1017" s="8"/>
      <c r="HT1017" s="8"/>
      <c r="HU1017" s="8"/>
      <c r="HV1017" s="8"/>
      <c r="HW1017" s="8"/>
      <c r="HX1017" s="8"/>
      <c r="HY1017" s="8"/>
      <c r="HZ1017" s="8"/>
      <c r="IA1017" s="8"/>
      <c r="IB1017" s="8"/>
      <c r="IC1017" s="8"/>
      <c r="ID1017" s="8"/>
      <c r="IE1017" s="8"/>
      <c r="IF1017" s="8"/>
    </row>
    <row r="1018" spans="1:240" ht="30" customHeight="1">
      <c r="A1018" s="5">
        <v>1016</v>
      </c>
      <c r="B1018" s="5"/>
      <c r="C1018" s="5"/>
      <c r="D1018" s="5" t="s">
        <v>68</v>
      </c>
      <c r="E1018" s="5">
        <v>930</v>
      </c>
      <c r="F1018" s="5">
        <v>930</v>
      </c>
      <c r="G1018" s="5">
        <v>1570</v>
      </c>
      <c r="H1018" s="5">
        <v>167</v>
      </c>
      <c r="I1018" s="5" t="s">
        <v>13</v>
      </c>
      <c r="J1018" s="5">
        <f>130/1000*60</f>
        <v>7.8000000000000007</v>
      </c>
      <c r="K1018" s="17">
        <v>5</v>
      </c>
      <c r="L1018" s="5">
        <v>35.17</v>
      </c>
      <c r="M1018" s="5" t="s">
        <v>48</v>
      </c>
      <c r="N1018" s="5" t="s">
        <v>48</v>
      </c>
      <c r="O1018" s="5">
        <v>5100</v>
      </c>
      <c r="P1018" s="5"/>
      <c r="Q1018" s="5"/>
      <c r="R1018" s="5">
        <v>1</v>
      </c>
      <c r="S1018" s="5">
        <v>500</v>
      </c>
      <c r="T1018" s="5" t="s">
        <v>48</v>
      </c>
      <c r="U1018" s="5" t="s">
        <v>48</v>
      </c>
      <c r="V1018" s="15">
        <f>0.75 * 0.7457</f>
        <v>0.55927499999999997</v>
      </c>
      <c r="W1018" s="5" t="s">
        <v>48</v>
      </c>
      <c r="X1018" s="5" t="s">
        <v>110</v>
      </c>
      <c r="Y1018" s="5" t="s">
        <v>48</v>
      </c>
      <c r="Z1018" s="5" t="s">
        <v>48</v>
      </c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  <c r="BY1018" s="8"/>
      <c r="BZ1018" s="8"/>
      <c r="CA1018" s="8"/>
      <c r="CB1018" s="8"/>
      <c r="CC1018" s="8"/>
      <c r="CD1018" s="8"/>
      <c r="CE1018" s="8"/>
      <c r="CF1018" s="8"/>
      <c r="CG1018" s="8"/>
      <c r="CH1018" s="8"/>
      <c r="CI1018" s="8"/>
      <c r="CJ1018" s="8"/>
      <c r="CK1018" s="8"/>
      <c r="CL1018" s="8"/>
      <c r="CM1018" s="8"/>
      <c r="CN1018" s="8"/>
      <c r="CO1018" s="8"/>
      <c r="CP1018" s="8"/>
      <c r="CQ1018" s="8"/>
      <c r="CR1018" s="8"/>
      <c r="CS1018" s="8"/>
      <c r="CT1018" s="8"/>
      <c r="CU1018" s="8"/>
      <c r="CV1018" s="8"/>
      <c r="CW1018" s="8"/>
      <c r="CX1018" s="8"/>
      <c r="CY1018" s="8"/>
      <c r="CZ1018" s="8"/>
      <c r="DA1018" s="8"/>
      <c r="DB1018" s="8"/>
      <c r="DC1018" s="8"/>
      <c r="DD1018" s="8"/>
      <c r="DE1018" s="8"/>
      <c r="DF1018" s="8"/>
      <c r="DG1018" s="8"/>
      <c r="DH1018" s="8"/>
      <c r="DI1018" s="8"/>
      <c r="DJ1018" s="8"/>
      <c r="DK1018" s="8"/>
      <c r="DL1018" s="8"/>
      <c r="DM1018" s="8"/>
      <c r="DN1018" s="8"/>
      <c r="DO1018" s="8"/>
      <c r="DP1018" s="8"/>
      <c r="DQ1018" s="8"/>
      <c r="DR1018" s="8"/>
      <c r="DS1018" s="8"/>
      <c r="DT1018" s="8"/>
      <c r="DU1018" s="8"/>
      <c r="DV1018" s="8"/>
      <c r="DW1018" s="8"/>
      <c r="DX1018" s="8"/>
      <c r="DY1018" s="8"/>
      <c r="DZ1018" s="8"/>
      <c r="EA1018" s="8"/>
      <c r="EB1018" s="8"/>
      <c r="EC1018" s="8"/>
      <c r="ED1018" s="8"/>
      <c r="EE1018" s="8"/>
      <c r="EF1018" s="8"/>
      <c r="EG1018" s="8"/>
      <c r="EH1018" s="8"/>
      <c r="EI1018" s="8"/>
      <c r="EJ1018" s="8"/>
      <c r="EK1018" s="8"/>
      <c r="EL1018" s="8"/>
      <c r="EM1018" s="8"/>
      <c r="EN1018" s="8"/>
      <c r="EO1018" s="8"/>
      <c r="EP1018" s="8"/>
      <c r="EQ1018" s="8"/>
      <c r="ER1018" s="8"/>
      <c r="ES1018" s="8"/>
      <c r="ET1018" s="8"/>
      <c r="EU1018" s="8"/>
      <c r="EV1018" s="8"/>
      <c r="EW1018" s="8"/>
      <c r="EX1018" s="8"/>
      <c r="EY1018" s="8"/>
      <c r="EZ1018" s="8"/>
      <c r="FA1018" s="8"/>
      <c r="FB1018" s="8"/>
      <c r="FC1018" s="8"/>
      <c r="FD1018" s="8"/>
      <c r="FE1018" s="8"/>
      <c r="FF1018" s="8"/>
      <c r="FG1018" s="8"/>
      <c r="FH1018" s="8"/>
      <c r="FI1018" s="8"/>
      <c r="FJ1018" s="8"/>
      <c r="FK1018" s="8"/>
      <c r="FL1018" s="8"/>
      <c r="FM1018" s="8"/>
      <c r="FN1018" s="8"/>
      <c r="FO1018" s="8"/>
      <c r="FP1018" s="8"/>
      <c r="FQ1018" s="8"/>
      <c r="FR1018" s="8"/>
      <c r="FS1018" s="8"/>
      <c r="FT1018" s="8"/>
      <c r="FU1018" s="8"/>
      <c r="FV1018" s="8"/>
      <c r="FW1018" s="8"/>
      <c r="FX1018" s="8"/>
      <c r="FY1018" s="8"/>
      <c r="FZ1018" s="8"/>
      <c r="GA1018" s="8"/>
      <c r="GB1018" s="8"/>
      <c r="GC1018" s="8"/>
      <c r="GD1018" s="8"/>
      <c r="GE1018" s="8"/>
      <c r="GF1018" s="8"/>
      <c r="GG1018" s="8"/>
      <c r="GH1018" s="8"/>
      <c r="GI1018" s="8"/>
      <c r="GJ1018" s="8"/>
      <c r="GK1018" s="8"/>
      <c r="GL1018" s="8"/>
      <c r="GM1018" s="8"/>
      <c r="GN1018" s="8"/>
      <c r="GO1018" s="8"/>
      <c r="GP1018" s="8"/>
      <c r="GQ1018" s="8"/>
      <c r="GR1018" s="8"/>
      <c r="GS1018" s="8"/>
      <c r="GT1018" s="8"/>
      <c r="GU1018" s="8"/>
      <c r="GV1018" s="8"/>
      <c r="GW1018" s="8"/>
      <c r="GX1018" s="8"/>
      <c r="GY1018" s="8"/>
      <c r="GZ1018" s="8"/>
      <c r="HA1018" s="8"/>
      <c r="HB1018" s="8"/>
      <c r="HC1018" s="8"/>
      <c r="HD1018" s="8"/>
      <c r="HE1018" s="8"/>
      <c r="HF1018" s="8"/>
      <c r="HG1018" s="8"/>
      <c r="HH1018" s="8"/>
      <c r="HI1018" s="8"/>
      <c r="HJ1018" s="8"/>
      <c r="HK1018" s="8"/>
      <c r="HL1018" s="8"/>
      <c r="HM1018" s="8"/>
      <c r="HN1018" s="8"/>
      <c r="HO1018" s="8"/>
      <c r="HP1018" s="8"/>
      <c r="HQ1018" s="8"/>
      <c r="HR1018" s="8"/>
      <c r="HS1018" s="8"/>
      <c r="HT1018" s="8"/>
      <c r="HU1018" s="8"/>
      <c r="HV1018" s="8"/>
      <c r="HW1018" s="8"/>
      <c r="HX1018" s="8"/>
      <c r="HY1018" s="8"/>
      <c r="HZ1018" s="8"/>
      <c r="IA1018" s="8"/>
      <c r="IB1018" s="8"/>
      <c r="IC1018" s="8"/>
      <c r="ID1018" s="8"/>
      <c r="IE1018" s="8"/>
      <c r="IF1018" s="8"/>
    </row>
    <row r="1019" spans="1:240" ht="30" customHeight="1">
      <c r="A1019" s="5">
        <v>1017</v>
      </c>
      <c r="B1019" s="5"/>
      <c r="C1019" s="5"/>
      <c r="D1019" s="5" t="s">
        <v>68</v>
      </c>
      <c r="E1019" s="5">
        <v>1220</v>
      </c>
      <c r="F1019" s="5">
        <v>1220</v>
      </c>
      <c r="G1019" s="5">
        <v>1580</v>
      </c>
      <c r="H1019" s="5">
        <v>284</v>
      </c>
      <c r="I1019" s="5" t="s">
        <v>13</v>
      </c>
      <c r="J1019" s="5">
        <f>195/1000*60</f>
        <v>11.700000000000001</v>
      </c>
      <c r="K1019" s="17">
        <v>5</v>
      </c>
      <c r="L1019" s="5">
        <v>52.75</v>
      </c>
      <c r="M1019" s="5" t="s">
        <v>48</v>
      </c>
      <c r="N1019" s="5" t="s">
        <v>48</v>
      </c>
      <c r="O1019" s="5">
        <f>140 *60</f>
        <v>8400</v>
      </c>
      <c r="P1019" s="5"/>
      <c r="Q1019" s="5"/>
      <c r="R1019" s="5">
        <v>1</v>
      </c>
      <c r="S1019" s="5">
        <v>605</v>
      </c>
      <c r="T1019" s="5" t="s">
        <v>48</v>
      </c>
      <c r="U1019" s="5" t="s">
        <v>48</v>
      </c>
      <c r="V1019" s="15">
        <f>0.5*0.7457</f>
        <v>0.37285000000000001</v>
      </c>
      <c r="W1019" s="5" t="s">
        <v>48</v>
      </c>
      <c r="X1019" s="5" t="s">
        <v>58</v>
      </c>
      <c r="Y1019" s="5" t="s">
        <v>48</v>
      </c>
      <c r="Z1019" s="5" t="s">
        <v>48</v>
      </c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  <c r="BY1019" s="8"/>
      <c r="BZ1019" s="8"/>
      <c r="CA1019" s="8"/>
      <c r="CB1019" s="8"/>
      <c r="CC1019" s="8"/>
      <c r="CD1019" s="8"/>
      <c r="CE1019" s="8"/>
      <c r="CF1019" s="8"/>
      <c r="CG1019" s="8"/>
      <c r="CH1019" s="8"/>
      <c r="CI1019" s="8"/>
      <c r="CJ1019" s="8"/>
      <c r="CK1019" s="8"/>
      <c r="CL1019" s="8"/>
      <c r="CM1019" s="8"/>
      <c r="CN1019" s="8"/>
      <c r="CO1019" s="8"/>
      <c r="CP1019" s="8"/>
      <c r="CQ1019" s="8"/>
      <c r="CR1019" s="8"/>
      <c r="CS1019" s="8"/>
      <c r="CT1019" s="8"/>
      <c r="CU1019" s="8"/>
      <c r="CV1019" s="8"/>
      <c r="CW1019" s="8"/>
      <c r="CX1019" s="8"/>
      <c r="CY1019" s="8"/>
      <c r="CZ1019" s="8"/>
      <c r="DA1019" s="8"/>
      <c r="DB1019" s="8"/>
      <c r="DC1019" s="8"/>
      <c r="DD1019" s="8"/>
      <c r="DE1019" s="8"/>
      <c r="DF1019" s="8"/>
      <c r="DG1019" s="8"/>
      <c r="DH1019" s="8"/>
      <c r="DI1019" s="8"/>
      <c r="DJ1019" s="8"/>
      <c r="DK1019" s="8"/>
      <c r="DL1019" s="8"/>
      <c r="DM1019" s="8"/>
      <c r="DN1019" s="8"/>
      <c r="DO1019" s="8"/>
      <c r="DP1019" s="8"/>
      <c r="DQ1019" s="8"/>
      <c r="DR1019" s="8"/>
      <c r="DS1019" s="8"/>
      <c r="DT1019" s="8"/>
      <c r="DU1019" s="8"/>
      <c r="DV1019" s="8"/>
      <c r="DW1019" s="8"/>
      <c r="DX1019" s="8"/>
      <c r="DY1019" s="8"/>
      <c r="DZ1019" s="8"/>
      <c r="EA1019" s="8"/>
      <c r="EB1019" s="8"/>
      <c r="EC1019" s="8"/>
      <c r="ED1019" s="8"/>
      <c r="EE1019" s="8"/>
      <c r="EF1019" s="8"/>
      <c r="EG1019" s="8"/>
      <c r="EH1019" s="8"/>
      <c r="EI1019" s="8"/>
      <c r="EJ1019" s="8"/>
      <c r="EK1019" s="8"/>
      <c r="EL1019" s="8"/>
      <c r="EM1019" s="8"/>
      <c r="EN1019" s="8"/>
      <c r="EO1019" s="8"/>
      <c r="EP1019" s="8"/>
      <c r="EQ1019" s="8"/>
      <c r="ER1019" s="8"/>
      <c r="ES1019" s="8"/>
      <c r="ET1019" s="8"/>
      <c r="EU1019" s="8"/>
      <c r="EV1019" s="8"/>
      <c r="EW1019" s="8"/>
      <c r="EX1019" s="8"/>
      <c r="EY1019" s="8"/>
      <c r="EZ1019" s="8"/>
      <c r="FA1019" s="8"/>
      <c r="FB1019" s="8"/>
      <c r="FC1019" s="8"/>
      <c r="FD1019" s="8"/>
      <c r="FE1019" s="8"/>
      <c r="FF1019" s="8"/>
      <c r="FG1019" s="8"/>
      <c r="FH1019" s="8"/>
      <c r="FI1019" s="8"/>
      <c r="FJ1019" s="8"/>
      <c r="FK1019" s="8"/>
      <c r="FL1019" s="8"/>
      <c r="FM1019" s="8"/>
      <c r="FN1019" s="8"/>
      <c r="FO1019" s="8"/>
      <c r="FP1019" s="8"/>
      <c r="FQ1019" s="8"/>
      <c r="FR1019" s="8"/>
      <c r="FS1019" s="8"/>
      <c r="FT1019" s="8"/>
      <c r="FU1019" s="8"/>
      <c r="FV1019" s="8"/>
      <c r="FW1019" s="8"/>
      <c r="FX1019" s="8"/>
      <c r="FY1019" s="8"/>
      <c r="FZ1019" s="8"/>
      <c r="GA1019" s="8"/>
      <c r="GB1019" s="8"/>
      <c r="GC1019" s="8"/>
      <c r="GD1019" s="8"/>
      <c r="GE1019" s="8"/>
      <c r="GF1019" s="8"/>
      <c r="GG1019" s="8"/>
      <c r="GH1019" s="8"/>
      <c r="GI1019" s="8"/>
      <c r="GJ1019" s="8"/>
      <c r="GK1019" s="8"/>
      <c r="GL1019" s="8"/>
      <c r="GM1019" s="8"/>
      <c r="GN1019" s="8"/>
      <c r="GO1019" s="8"/>
      <c r="GP1019" s="8"/>
      <c r="GQ1019" s="8"/>
      <c r="GR1019" s="8"/>
      <c r="GS1019" s="8"/>
      <c r="GT1019" s="8"/>
      <c r="GU1019" s="8"/>
      <c r="GV1019" s="8"/>
      <c r="GW1019" s="8"/>
      <c r="GX1019" s="8"/>
      <c r="GY1019" s="8"/>
      <c r="GZ1019" s="8"/>
      <c r="HA1019" s="8"/>
      <c r="HB1019" s="8"/>
      <c r="HC1019" s="8"/>
      <c r="HD1019" s="8"/>
      <c r="HE1019" s="8"/>
      <c r="HF1019" s="8"/>
      <c r="HG1019" s="8"/>
      <c r="HH1019" s="8"/>
      <c r="HI1019" s="8"/>
      <c r="HJ1019" s="8"/>
      <c r="HK1019" s="8"/>
      <c r="HL1019" s="8"/>
      <c r="HM1019" s="8"/>
      <c r="HN1019" s="8"/>
      <c r="HO1019" s="8"/>
      <c r="HP1019" s="8"/>
      <c r="HQ1019" s="8"/>
      <c r="HR1019" s="8"/>
      <c r="HS1019" s="8"/>
      <c r="HT1019" s="8"/>
      <c r="HU1019" s="8"/>
      <c r="HV1019" s="8"/>
      <c r="HW1019" s="8"/>
      <c r="HX1019" s="8"/>
      <c r="HY1019" s="8"/>
      <c r="HZ1019" s="8"/>
      <c r="IA1019" s="8"/>
      <c r="IB1019" s="8"/>
      <c r="IC1019" s="8"/>
      <c r="ID1019" s="8"/>
      <c r="IE1019" s="8"/>
      <c r="IF1019" s="8"/>
    </row>
    <row r="1020" spans="1:240" ht="30" customHeight="1">
      <c r="A1020" s="5">
        <v>1018</v>
      </c>
      <c r="B1020" s="5"/>
      <c r="C1020" s="5"/>
      <c r="D1020" s="5" t="s">
        <v>68</v>
      </c>
      <c r="E1020" s="5">
        <v>1220</v>
      </c>
      <c r="F1020" s="5">
        <v>1220</v>
      </c>
      <c r="G1020" s="5">
        <v>1760</v>
      </c>
      <c r="H1020" s="5">
        <v>297</v>
      </c>
      <c r="I1020" s="5" t="s">
        <v>13</v>
      </c>
      <c r="J1020" s="5">
        <f>260/1000*60</f>
        <v>15.600000000000001</v>
      </c>
      <c r="K1020" s="17">
        <v>5</v>
      </c>
      <c r="L1020" s="5">
        <v>70.34</v>
      </c>
      <c r="M1020" s="5" t="s">
        <v>48</v>
      </c>
      <c r="N1020" s="5" t="s">
        <v>48</v>
      </c>
      <c r="O1020" s="5">
        <f>140 *60</f>
        <v>8400</v>
      </c>
      <c r="P1020" s="5"/>
      <c r="Q1020" s="5"/>
      <c r="R1020" s="5">
        <v>1</v>
      </c>
      <c r="S1020" s="5">
        <v>605</v>
      </c>
      <c r="T1020" s="5" t="s">
        <v>48</v>
      </c>
      <c r="U1020" s="5" t="s">
        <v>48</v>
      </c>
      <c r="V1020" s="15">
        <f>0.5*0.7457</f>
        <v>0.37285000000000001</v>
      </c>
      <c r="W1020" s="5" t="s">
        <v>48</v>
      </c>
      <c r="X1020" s="5" t="s">
        <v>58</v>
      </c>
      <c r="Y1020" s="5" t="s">
        <v>48</v>
      </c>
      <c r="Z1020" s="5" t="s">
        <v>48</v>
      </c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  <c r="BY1020" s="8"/>
      <c r="BZ1020" s="8"/>
      <c r="CA1020" s="8"/>
      <c r="CB1020" s="8"/>
      <c r="CC1020" s="8"/>
      <c r="CD1020" s="8"/>
      <c r="CE1020" s="8"/>
      <c r="CF1020" s="8"/>
      <c r="CG1020" s="8"/>
      <c r="CH1020" s="8"/>
      <c r="CI1020" s="8"/>
      <c r="CJ1020" s="8"/>
      <c r="CK1020" s="8"/>
      <c r="CL1020" s="8"/>
      <c r="CM1020" s="8"/>
      <c r="CN1020" s="8"/>
      <c r="CO1020" s="8"/>
      <c r="CP1020" s="8"/>
      <c r="CQ1020" s="8"/>
      <c r="CR1020" s="8"/>
      <c r="CS1020" s="8"/>
      <c r="CT1020" s="8"/>
      <c r="CU1020" s="8"/>
      <c r="CV1020" s="8"/>
      <c r="CW1020" s="8"/>
      <c r="CX1020" s="8"/>
      <c r="CY1020" s="8"/>
      <c r="CZ1020" s="8"/>
      <c r="DA1020" s="8"/>
      <c r="DB1020" s="8"/>
      <c r="DC1020" s="8"/>
      <c r="DD1020" s="8"/>
      <c r="DE1020" s="8"/>
      <c r="DF1020" s="8"/>
      <c r="DG1020" s="8"/>
      <c r="DH1020" s="8"/>
      <c r="DI1020" s="8"/>
      <c r="DJ1020" s="8"/>
      <c r="DK1020" s="8"/>
      <c r="DL1020" s="8"/>
      <c r="DM1020" s="8"/>
      <c r="DN1020" s="8"/>
      <c r="DO1020" s="8"/>
      <c r="DP1020" s="8"/>
      <c r="DQ1020" s="8"/>
      <c r="DR1020" s="8"/>
      <c r="DS1020" s="8"/>
      <c r="DT1020" s="8"/>
      <c r="DU1020" s="8"/>
      <c r="DV1020" s="8"/>
      <c r="DW1020" s="8"/>
      <c r="DX1020" s="8"/>
      <c r="DY1020" s="8"/>
      <c r="DZ1020" s="8"/>
      <c r="EA1020" s="8"/>
      <c r="EB1020" s="8"/>
      <c r="EC1020" s="8"/>
      <c r="ED1020" s="8"/>
      <c r="EE1020" s="8"/>
      <c r="EF1020" s="8"/>
      <c r="EG1020" s="8"/>
      <c r="EH1020" s="8"/>
      <c r="EI1020" s="8"/>
      <c r="EJ1020" s="8"/>
      <c r="EK1020" s="8"/>
      <c r="EL1020" s="8"/>
      <c r="EM1020" s="8"/>
      <c r="EN1020" s="8"/>
      <c r="EO1020" s="8"/>
      <c r="EP1020" s="8"/>
      <c r="EQ1020" s="8"/>
      <c r="ER1020" s="8"/>
      <c r="ES1020" s="8"/>
      <c r="ET1020" s="8"/>
      <c r="EU1020" s="8"/>
      <c r="EV1020" s="8"/>
      <c r="EW1020" s="8"/>
      <c r="EX1020" s="8"/>
      <c r="EY1020" s="8"/>
      <c r="EZ1020" s="8"/>
      <c r="FA1020" s="8"/>
      <c r="FB1020" s="8"/>
      <c r="FC1020" s="8"/>
      <c r="FD1020" s="8"/>
      <c r="FE1020" s="8"/>
      <c r="FF1020" s="8"/>
      <c r="FG1020" s="8"/>
      <c r="FH1020" s="8"/>
      <c r="FI1020" s="8"/>
      <c r="FJ1020" s="8"/>
      <c r="FK1020" s="8"/>
      <c r="FL1020" s="8"/>
      <c r="FM1020" s="8"/>
      <c r="FN1020" s="8"/>
      <c r="FO1020" s="8"/>
      <c r="FP1020" s="8"/>
      <c r="FQ1020" s="8"/>
      <c r="FR1020" s="8"/>
      <c r="FS1020" s="8"/>
      <c r="FT1020" s="8"/>
      <c r="FU1020" s="8"/>
      <c r="FV1020" s="8"/>
      <c r="FW1020" s="8"/>
      <c r="FX1020" s="8"/>
      <c r="FY1020" s="8"/>
      <c r="FZ1020" s="8"/>
      <c r="GA1020" s="8"/>
      <c r="GB1020" s="8"/>
      <c r="GC1020" s="8"/>
      <c r="GD1020" s="8"/>
      <c r="GE1020" s="8"/>
      <c r="GF1020" s="8"/>
      <c r="GG1020" s="8"/>
      <c r="GH1020" s="8"/>
      <c r="GI1020" s="8"/>
      <c r="GJ1020" s="8"/>
      <c r="GK1020" s="8"/>
      <c r="GL1020" s="8"/>
      <c r="GM1020" s="8"/>
      <c r="GN1020" s="8"/>
      <c r="GO1020" s="8"/>
      <c r="GP1020" s="8"/>
      <c r="GQ1020" s="8"/>
      <c r="GR1020" s="8"/>
      <c r="GS1020" s="8"/>
      <c r="GT1020" s="8"/>
      <c r="GU1020" s="8"/>
      <c r="GV1020" s="8"/>
      <c r="GW1020" s="8"/>
      <c r="GX1020" s="8"/>
      <c r="GY1020" s="8"/>
      <c r="GZ1020" s="8"/>
      <c r="HA1020" s="8"/>
      <c r="HB1020" s="8"/>
      <c r="HC1020" s="8"/>
      <c r="HD1020" s="8"/>
      <c r="HE1020" s="8"/>
      <c r="HF1020" s="8"/>
      <c r="HG1020" s="8"/>
      <c r="HH1020" s="8"/>
      <c r="HI1020" s="8"/>
      <c r="HJ1020" s="8"/>
      <c r="HK1020" s="8"/>
      <c r="HL1020" s="8"/>
      <c r="HM1020" s="8"/>
      <c r="HN1020" s="8"/>
      <c r="HO1020" s="8"/>
      <c r="HP1020" s="8"/>
      <c r="HQ1020" s="8"/>
      <c r="HR1020" s="8"/>
      <c r="HS1020" s="8"/>
      <c r="HT1020" s="8"/>
      <c r="HU1020" s="8"/>
      <c r="HV1020" s="8"/>
      <c r="HW1020" s="8"/>
      <c r="HX1020" s="8"/>
      <c r="HY1020" s="8"/>
      <c r="HZ1020" s="8"/>
      <c r="IA1020" s="8"/>
      <c r="IB1020" s="8"/>
      <c r="IC1020" s="8"/>
      <c r="ID1020" s="8"/>
      <c r="IE1020" s="8"/>
      <c r="IF1020" s="8"/>
    </row>
    <row r="1021" spans="1:240" ht="30" customHeight="1">
      <c r="A1021" s="5">
        <v>1019</v>
      </c>
      <c r="B1021" s="5"/>
      <c r="C1021" s="5"/>
      <c r="D1021" s="5" t="s">
        <v>68</v>
      </c>
      <c r="E1021" s="5">
        <v>1220</v>
      </c>
      <c r="F1021" s="5">
        <v>1220</v>
      </c>
      <c r="G1021" s="5">
        <v>1760</v>
      </c>
      <c r="H1021" s="5">
        <v>320</v>
      </c>
      <c r="I1021" s="5" t="s">
        <v>13</v>
      </c>
      <c r="J1021" s="5">
        <f>325/1000*60</f>
        <v>19.5</v>
      </c>
      <c r="K1021" s="17">
        <v>5</v>
      </c>
      <c r="L1021" s="5">
        <v>87.92</v>
      </c>
      <c r="M1021" s="5" t="s">
        <v>48</v>
      </c>
      <c r="N1021" s="5" t="s">
        <v>48</v>
      </c>
      <c r="O1021" s="5">
        <f>185*60</f>
        <v>11100</v>
      </c>
      <c r="P1021" s="5"/>
      <c r="Q1021" s="5"/>
      <c r="R1021" s="5">
        <v>1</v>
      </c>
      <c r="S1021" s="5">
        <v>605</v>
      </c>
      <c r="T1021" s="5" t="s">
        <v>48</v>
      </c>
      <c r="U1021" s="5" t="s">
        <v>48</v>
      </c>
      <c r="V1021" s="15">
        <f>0.5*0.7457</f>
        <v>0.37285000000000001</v>
      </c>
      <c r="W1021" s="5" t="s">
        <v>48</v>
      </c>
      <c r="X1021" s="5" t="s">
        <v>59</v>
      </c>
      <c r="Y1021" s="5" t="s">
        <v>48</v>
      </c>
      <c r="Z1021" s="5" t="s">
        <v>48</v>
      </c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  <c r="BY1021" s="8"/>
      <c r="BZ1021" s="8"/>
      <c r="CA1021" s="8"/>
      <c r="CB1021" s="8"/>
      <c r="CC1021" s="8"/>
      <c r="CD1021" s="8"/>
      <c r="CE1021" s="8"/>
      <c r="CF1021" s="8"/>
      <c r="CG1021" s="8"/>
      <c r="CH1021" s="8"/>
      <c r="CI1021" s="8"/>
      <c r="CJ1021" s="8"/>
      <c r="CK1021" s="8"/>
      <c r="CL1021" s="8"/>
      <c r="CM1021" s="8"/>
      <c r="CN1021" s="8"/>
      <c r="CO1021" s="8"/>
      <c r="CP1021" s="8"/>
      <c r="CQ1021" s="8"/>
      <c r="CR1021" s="8"/>
      <c r="CS1021" s="8"/>
      <c r="CT1021" s="8"/>
      <c r="CU1021" s="8"/>
      <c r="CV1021" s="8"/>
      <c r="CW1021" s="8"/>
      <c r="CX1021" s="8"/>
      <c r="CY1021" s="8"/>
      <c r="CZ1021" s="8"/>
      <c r="DA1021" s="8"/>
      <c r="DB1021" s="8"/>
      <c r="DC1021" s="8"/>
      <c r="DD1021" s="8"/>
      <c r="DE1021" s="8"/>
      <c r="DF1021" s="8"/>
      <c r="DG1021" s="8"/>
      <c r="DH1021" s="8"/>
      <c r="DI1021" s="8"/>
      <c r="DJ1021" s="8"/>
      <c r="DK1021" s="8"/>
      <c r="DL1021" s="8"/>
      <c r="DM1021" s="8"/>
      <c r="DN1021" s="8"/>
      <c r="DO1021" s="8"/>
      <c r="DP1021" s="8"/>
      <c r="DQ1021" s="8"/>
      <c r="DR1021" s="8"/>
      <c r="DS1021" s="8"/>
      <c r="DT1021" s="8"/>
      <c r="DU1021" s="8"/>
      <c r="DV1021" s="8"/>
      <c r="DW1021" s="8"/>
      <c r="DX1021" s="8"/>
      <c r="DY1021" s="8"/>
      <c r="DZ1021" s="8"/>
      <c r="EA1021" s="8"/>
      <c r="EB1021" s="8"/>
      <c r="EC1021" s="8"/>
      <c r="ED1021" s="8"/>
      <c r="EE1021" s="8"/>
      <c r="EF1021" s="8"/>
      <c r="EG1021" s="8"/>
      <c r="EH1021" s="8"/>
      <c r="EI1021" s="8"/>
      <c r="EJ1021" s="8"/>
      <c r="EK1021" s="8"/>
      <c r="EL1021" s="8"/>
      <c r="EM1021" s="8"/>
      <c r="EN1021" s="8"/>
      <c r="EO1021" s="8"/>
      <c r="EP1021" s="8"/>
      <c r="EQ1021" s="8"/>
      <c r="ER1021" s="8"/>
      <c r="ES1021" s="8"/>
      <c r="ET1021" s="8"/>
      <c r="EU1021" s="8"/>
      <c r="EV1021" s="8"/>
      <c r="EW1021" s="8"/>
      <c r="EX1021" s="8"/>
      <c r="EY1021" s="8"/>
      <c r="EZ1021" s="8"/>
      <c r="FA1021" s="8"/>
      <c r="FB1021" s="8"/>
      <c r="FC1021" s="8"/>
      <c r="FD1021" s="8"/>
      <c r="FE1021" s="8"/>
      <c r="FF1021" s="8"/>
      <c r="FG1021" s="8"/>
      <c r="FH1021" s="8"/>
      <c r="FI1021" s="8"/>
      <c r="FJ1021" s="8"/>
      <c r="FK1021" s="8"/>
      <c r="FL1021" s="8"/>
      <c r="FM1021" s="8"/>
      <c r="FN1021" s="8"/>
      <c r="FO1021" s="8"/>
      <c r="FP1021" s="8"/>
      <c r="FQ1021" s="8"/>
      <c r="FR1021" s="8"/>
      <c r="FS1021" s="8"/>
      <c r="FT1021" s="8"/>
      <c r="FU1021" s="8"/>
      <c r="FV1021" s="8"/>
      <c r="FW1021" s="8"/>
      <c r="FX1021" s="8"/>
      <c r="FY1021" s="8"/>
      <c r="FZ1021" s="8"/>
      <c r="GA1021" s="8"/>
      <c r="GB1021" s="8"/>
      <c r="GC1021" s="8"/>
      <c r="GD1021" s="8"/>
      <c r="GE1021" s="8"/>
      <c r="GF1021" s="8"/>
      <c r="GG1021" s="8"/>
      <c r="GH1021" s="8"/>
      <c r="GI1021" s="8"/>
      <c r="GJ1021" s="8"/>
      <c r="GK1021" s="8"/>
      <c r="GL1021" s="8"/>
      <c r="GM1021" s="8"/>
      <c r="GN1021" s="8"/>
      <c r="GO1021" s="8"/>
      <c r="GP1021" s="8"/>
      <c r="GQ1021" s="8"/>
      <c r="GR1021" s="8"/>
      <c r="GS1021" s="8"/>
      <c r="GT1021" s="8"/>
      <c r="GU1021" s="8"/>
      <c r="GV1021" s="8"/>
      <c r="GW1021" s="8"/>
      <c r="GX1021" s="8"/>
      <c r="GY1021" s="8"/>
      <c r="GZ1021" s="8"/>
      <c r="HA1021" s="8"/>
      <c r="HB1021" s="8"/>
      <c r="HC1021" s="8"/>
      <c r="HD1021" s="8"/>
      <c r="HE1021" s="8"/>
      <c r="HF1021" s="8"/>
      <c r="HG1021" s="8"/>
      <c r="HH1021" s="8"/>
      <c r="HI1021" s="8"/>
      <c r="HJ1021" s="8"/>
      <c r="HK1021" s="8"/>
      <c r="HL1021" s="8"/>
      <c r="HM1021" s="8"/>
      <c r="HN1021" s="8"/>
      <c r="HO1021" s="8"/>
      <c r="HP1021" s="8"/>
      <c r="HQ1021" s="8"/>
      <c r="HR1021" s="8"/>
      <c r="HS1021" s="8"/>
      <c r="HT1021" s="8"/>
      <c r="HU1021" s="8"/>
      <c r="HV1021" s="8"/>
      <c r="HW1021" s="8"/>
      <c r="HX1021" s="8"/>
      <c r="HY1021" s="8"/>
      <c r="HZ1021" s="8"/>
      <c r="IA1021" s="8"/>
      <c r="IB1021" s="8"/>
      <c r="IC1021" s="8"/>
      <c r="ID1021" s="8"/>
      <c r="IE1021" s="8"/>
      <c r="IF1021" s="8"/>
    </row>
    <row r="1022" spans="1:240" ht="30" customHeight="1">
      <c r="A1022" s="5">
        <v>1020</v>
      </c>
      <c r="B1022" s="5"/>
      <c r="C1022" s="5"/>
      <c r="D1022" s="5" t="s">
        <v>68</v>
      </c>
      <c r="E1022" s="5">
        <v>1650</v>
      </c>
      <c r="F1022" s="5">
        <v>1650</v>
      </c>
      <c r="G1022" s="5">
        <v>1720</v>
      </c>
      <c r="H1022" s="5">
        <v>500</v>
      </c>
      <c r="I1022" s="5" t="s">
        <v>13</v>
      </c>
      <c r="J1022" s="5">
        <f>390/1000*60</f>
        <v>23.400000000000002</v>
      </c>
      <c r="K1022" s="17">
        <v>5</v>
      </c>
      <c r="L1022" s="5">
        <v>105.51</v>
      </c>
      <c r="M1022" s="5" t="s">
        <v>48</v>
      </c>
      <c r="N1022" s="5" t="s">
        <v>48</v>
      </c>
      <c r="O1022" s="5">
        <f>225 *60</f>
        <v>13500</v>
      </c>
      <c r="P1022" s="5"/>
      <c r="Q1022" s="5"/>
      <c r="R1022" s="5">
        <v>1</v>
      </c>
      <c r="S1022" s="5">
        <v>860</v>
      </c>
      <c r="T1022" s="5" t="s">
        <v>48</v>
      </c>
      <c r="U1022" s="5" t="s">
        <v>48</v>
      </c>
      <c r="V1022" s="15">
        <f>0.75*0.7457</f>
        <v>0.55927499999999997</v>
      </c>
      <c r="W1022" s="5" t="s">
        <v>48</v>
      </c>
      <c r="X1022" s="5" t="s">
        <v>59</v>
      </c>
      <c r="Y1022" s="5" t="s">
        <v>48</v>
      </c>
      <c r="Z1022" s="5" t="s">
        <v>48</v>
      </c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  <c r="BY1022" s="8"/>
      <c r="BZ1022" s="8"/>
      <c r="CA1022" s="8"/>
      <c r="CB1022" s="8"/>
      <c r="CC1022" s="8"/>
      <c r="CD1022" s="8"/>
      <c r="CE1022" s="8"/>
      <c r="CF1022" s="8"/>
      <c r="CG1022" s="8"/>
      <c r="CH1022" s="8"/>
      <c r="CI1022" s="8"/>
      <c r="CJ1022" s="8"/>
      <c r="CK1022" s="8"/>
      <c r="CL1022" s="8"/>
      <c r="CM1022" s="8"/>
      <c r="CN1022" s="8"/>
      <c r="CO1022" s="8"/>
      <c r="CP1022" s="8"/>
      <c r="CQ1022" s="8"/>
      <c r="CR1022" s="8"/>
      <c r="CS1022" s="8"/>
      <c r="CT1022" s="8"/>
      <c r="CU1022" s="8"/>
      <c r="CV1022" s="8"/>
      <c r="CW1022" s="8"/>
      <c r="CX1022" s="8"/>
      <c r="CY1022" s="8"/>
      <c r="CZ1022" s="8"/>
      <c r="DA1022" s="8"/>
      <c r="DB1022" s="8"/>
      <c r="DC1022" s="8"/>
      <c r="DD1022" s="8"/>
      <c r="DE1022" s="8"/>
      <c r="DF1022" s="8"/>
      <c r="DG1022" s="8"/>
      <c r="DH1022" s="8"/>
      <c r="DI1022" s="8"/>
      <c r="DJ1022" s="8"/>
      <c r="DK1022" s="8"/>
      <c r="DL1022" s="8"/>
      <c r="DM1022" s="8"/>
      <c r="DN1022" s="8"/>
      <c r="DO1022" s="8"/>
      <c r="DP1022" s="8"/>
      <c r="DQ1022" s="8"/>
      <c r="DR1022" s="8"/>
      <c r="DS1022" s="8"/>
      <c r="DT1022" s="8"/>
      <c r="DU1022" s="8"/>
      <c r="DV1022" s="8"/>
      <c r="DW1022" s="8"/>
      <c r="DX1022" s="8"/>
      <c r="DY1022" s="8"/>
      <c r="DZ1022" s="8"/>
      <c r="EA1022" s="8"/>
      <c r="EB1022" s="8"/>
      <c r="EC1022" s="8"/>
      <c r="ED1022" s="8"/>
      <c r="EE1022" s="8"/>
      <c r="EF1022" s="8"/>
      <c r="EG1022" s="8"/>
      <c r="EH1022" s="8"/>
      <c r="EI1022" s="8"/>
      <c r="EJ1022" s="8"/>
      <c r="EK1022" s="8"/>
      <c r="EL1022" s="8"/>
      <c r="EM1022" s="8"/>
      <c r="EN1022" s="8"/>
      <c r="EO1022" s="8"/>
      <c r="EP1022" s="8"/>
      <c r="EQ1022" s="8"/>
      <c r="ER1022" s="8"/>
      <c r="ES1022" s="8"/>
      <c r="ET1022" s="8"/>
      <c r="EU1022" s="8"/>
      <c r="EV1022" s="8"/>
      <c r="EW1022" s="8"/>
      <c r="EX1022" s="8"/>
      <c r="EY1022" s="8"/>
      <c r="EZ1022" s="8"/>
      <c r="FA1022" s="8"/>
      <c r="FB1022" s="8"/>
      <c r="FC1022" s="8"/>
      <c r="FD1022" s="8"/>
      <c r="FE1022" s="8"/>
      <c r="FF1022" s="8"/>
      <c r="FG1022" s="8"/>
      <c r="FH1022" s="8"/>
      <c r="FI1022" s="8"/>
      <c r="FJ1022" s="8"/>
      <c r="FK1022" s="8"/>
      <c r="FL1022" s="8"/>
      <c r="FM1022" s="8"/>
      <c r="FN1022" s="8"/>
      <c r="FO1022" s="8"/>
      <c r="FP1022" s="8"/>
      <c r="FQ1022" s="8"/>
      <c r="FR1022" s="8"/>
      <c r="FS1022" s="8"/>
      <c r="FT1022" s="8"/>
      <c r="FU1022" s="8"/>
      <c r="FV1022" s="8"/>
      <c r="FW1022" s="8"/>
      <c r="FX1022" s="8"/>
      <c r="FY1022" s="8"/>
      <c r="FZ1022" s="8"/>
      <c r="GA1022" s="8"/>
      <c r="GB1022" s="8"/>
      <c r="GC1022" s="8"/>
      <c r="GD1022" s="8"/>
      <c r="GE1022" s="8"/>
      <c r="GF1022" s="8"/>
      <c r="GG1022" s="8"/>
      <c r="GH1022" s="8"/>
      <c r="GI1022" s="8"/>
      <c r="GJ1022" s="8"/>
      <c r="GK1022" s="8"/>
      <c r="GL1022" s="8"/>
      <c r="GM1022" s="8"/>
      <c r="GN1022" s="8"/>
      <c r="GO1022" s="8"/>
      <c r="GP1022" s="8"/>
      <c r="GQ1022" s="8"/>
      <c r="GR1022" s="8"/>
      <c r="GS1022" s="8"/>
      <c r="GT1022" s="8"/>
      <c r="GU1022" s="8"/>
      <c r="GV1022" s="8"/>
      <c r="GW1022" s="8"/>
      <c r="GX1022" s="8"/>
      <c r="GY1022" s="8"/>
      <c r="GZ1022" s="8"/>
      <c r="HA1022" s="8"/>
      <c r="HB1022" s="8"/>
      <c r="HC1022" s="8"/>
      <c r="HD1022" s="8"/>
      <c r="HE1022" s="8"/>
      <c r="HF1022" s="8"/>
      <c r="HG1022" s="8"/>
      <c r="HH1022" s="8"/>
      <c r="HI1022" s="8"/>
      <c r="HJ1022" s="8"/>
      <c r="HK1022" s="8"/>
      <c r="HL1022" s="8"/>
      <c r="HM1022" s="8"/>
      <c r="HN1022" s="8"/>
      <c r="HO1022" s="8"/>
      <c r="HP1022" s="8"/>
      <c r="HQ1022" s="8"/>
      <c r="HR1022" s="8"/>
      <c r="HS1022" s="8"/>
      <c r="HT1022" s="8"/>
      <c r="HU1022" s="8"/>
      <c r="HV1022" s="8"/>
      <c r="HW1022" s="8"/>
      <c r="HX1022" s="8"/>
      <c r="HY1022" s="8"/>
      <c r="HZ1022" s="8"/>
      <c r="IA1022" s="8"/>
      <c r="IB1022" s="8"/>
      <c r="IC1022" s="8"/>
      <c r="ID1022" s="8"/>
      <c r="IE1022" s="8"/>
      <c r="IF1022" s="8"/>
    </row>
    <row r="1023" spans="1:240" ht="30" customHeight="1">
      <c r="A1023" s="5">
        <v>1021</v>
      </c>
      <c r="B1023" s="5"/>
      <c r="C1023" s="5"/>
      <c r="D1023" s="5" t="s">
        <v>68</v>
      </c>
      <c r="E1023" s="5">
        <v>1760</v>
      </c>
      <c r="F1023" s="5">
        <v>1760</v>
      </c>
      <c r="G1023" s="5">
        <v>1860</v>
      </c>
      <c r="H1023" s="5">
        <v>580</v>
      </c>
      <c r="I1023" s="5" t="s">
        <v>13</v>
      </c>
      <c r="J1023" s="5">
        <f>520/1000*60</f>
        <v>31.200000000000003</v>
      </c>
      <c r="K1023" s="17">
        <v>5</v>
      </c>
      <c r="L1023" s="5">
        <v>140.66999999999999</v>
      </c>
      <c r="M1023" s="5" t="s">
        <v>48</v>
      </c>
      <c r="N1023" s="5" t="s">
        <v>48</v>
      </c>
      <c r="O1023" s="5">
        <f>280 *60</f>
        <v>16800</v>
      </c>
      <c r="P1023" s="5"/>
      <c r="Q1023" s="5"/>
      <c r="R1023" s="5">
        <v>1</v>
      </c>
      <c r="S1023" s="5">
        <v>960</v>
      </c>
      <c r="T1023" s="5" t="s">
        <v>48</v>
      </c>
      <c r="U1023" s="5" t="s">
        <v>48</v>
      </c>
      <c r="V1023" s="15">
        <f>1*0.7457</f>
        <v>0.74570000000000003</v>
      </c>
      <c r="W1023" s="5" t="s">
        <v>48</v>
      </c>
      <c r="X1023" s="5" t="s">
        <v>60</v>
      </c>
      <c r="Y1023" s="5" t="s">
        <v>48</v>
      </c>
      <c r="Z1023" s="5" t="s">
        <v>48</v>
      </c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  <c r="BY1023" s="8"/>
      <c r="BZ1023" s="8"/>
      <c r="CA1023" s="8"/>
      <c r="CB1023" s="8"/>
      <c r="CC1023" s="8"/>
      <c r="CD1023" s="8"/>
      <c r="CE1023" s="8"/>
      <c r="CF1023" s="8"/>
      <c r="CG1023" s="8"/>
      <c r="CH1023" s="8"/>
      <c r="CI1023" s="8"/>
      <c r="CJ1023" s="8"/>
      <c r="CK1023" s="8"/>
      <c r="CL1023" s="8"/>
      <c r="CM1023" s="8"/>
      <c r="CN1023" s="8"/>
      <c r="CO1023" s="8"/>
      <c r="CP1023" s="8"/>
      <c r="CQ1023" s="8"/>
      <c r="CR1023" s="8"/>
      <c r="CS1023" s="8"/>
      <c r="CT1023" s="8"/>
      <c r="CU1023" s="8"/>
      <c r="CV1023" s="8"/>
      <c r="CW1023" s="8"/>
      <c r="CX1023" s="8"/>
      <c r="CY1023" s="8"/>
      <c r="CZ1023" s="8"/>
      <c r="DA1023" s="8"/>
      <c r="DB1023" s="8"/>
      <c r="DC1023" s="8"/>
      <c r="DD1023" s="8"/>
      <c r="DE1023" s="8"/>
      <c r="DF1023" s="8"/>
      <c r="DG1023" s="8"/>
      <c r="DH1023" s="8"/>
      <c r="DI1023" s="8"/>
      <c r="DJ1023" s="8"/>
      <c r="DK1023" s="8"/>
      <c r="DL1023" s="8"/>
      <c r="DM1023" s="8"/>
      <c r="DN1023" s="8"/>
      <c r="DO1023" s="8"/>
      <c r="DP1023" s="8"/>
      <c r="DQ1023" s="8"/>
      <c r="DR1023" s="8"/>
      <c r="DS1023" s="8"/>
      <c r="DT1023" s="8"/>
      <c r="DU1023" s="8"/>
      <c r="DV1023" s="8"/>
      <c r="DW1023" s="8"/>
      <c r="DX1023" s="8"/>
      <c r="DY1023" s="8"/>
      <c r="DZ1023" s="8"/>
      <c r="EA1023" s="8"/>
      <c r="EB1023" s="8"/>
      <c r="EC1023" s="8"/>
      <c r="ED1023" s="8"/>
      <c r="EE1023" s="8"/>
      <c r="EF1023" s="8"/>
      <c r="EG1023" s="8"/>
      <c r="EH1023" s="8"/>
      <c r="EI1023" s="8"/>
      <c r="EJ1023" s="8"/>
      <c r="EK1023" s="8"/>
      <c r="EL1023" s="8"/>
      <c r="EM1023" s="8"/>
      <c r="EN1023" s="8"/>
      <c r="EO1023" s="8"/>
      <c r="EP1023" s="8"/>
      <c r="EQ1023" s="8"/>
      <c r="ER1023" s="8"/>
      <c r="ES1023" s="8"/>
      <c r="ET1023" s="8"/>
      <c r="EU1023" s="8"/>
      <c r="EV1023" s="8"/>
      <c r="EW1023" s="8"/>
      <c r="EX1023" s="8"/>
      <c r="EY1023" s="8"/>
      <c r="EZ1023" s="8"/>
      <c r="FA1023" s="8"/>
      <c r="FB1023" s="8"/>
      <c r="FC1023" s="8"/>
      <c r="FD1023" s="8"/>
      <c r="FE1023" s="8"/>
      <c r="FF1023" s="8"/>
      <c r="FG1023" s="8"/>
      <c r="FH1023" s="8"/>
      <c r="FI1023" s="8"/>
      <c r="FJ1023" s="8"/>
      <c r="FK1023" s="8"/>
      <c r="FL1023" s="8"/>
      <c r="FM1023" s="8"/>
      <c r="FN1023" s="8"/>
      <c r="FO1023" s="8"/>
      <c r="FP1023" s="8"/>
      <c r="FQ1023" s="8"/>
      <c r="FR1023" s="8"/>
      <c r="FS1023" s="8"/>
      <c r="FT1023" s="8"/>
      <c r="FU1023" s="8"/>
      <c r="FV1023" s="8"/>
      <c r="FW1023" s="8"/>
      <c r="FX1023" s="8"/>
      <c r="FY1023" s="8"/>
      <c r="FZ1023" s="8"/>
      <c r="GA1023" s="8"/>
      <c r="GB1023" s="8"/>
      <c r="GC1023" s="8"/>
      <c r="GD1023" s="8"/>
      <c r="GE1023" s="8"/>
      <c r="GF1023" s="8"/>
      <c r="GG1023" s="8"/>
      <c r="GH1023" s="8"/>
      <c r="GI1023" s="8"/>
      <c r="GJ1023" s="8"/>
      <c r="GK1023" s="8"/>
      <c r="GL1023" s="8"/>
      <c r="GM1023" s="8"/>
      <c r="GN1023" s="8"/>
      <c r="GO1023" s="8"/>
      <c r="GP1023" s="8"/>
      <c r="GQ1023" s="8"/>
      <c r="GR1023" s="8"/>
      <c r="GS1023" s="8"/>
      <c r="GT1023" s="8"/>
      <c r="GU1023" s="8"/>
      <c r="GV1023" s="8"/>
      <c r="GW1023" s="8"/>
      <c r="GX1023" s="8"/>
      <c r="GY1023" s="8"/>
      <c r="GZ1023" s="8"/>
      <c r="HA1023" s="8"/>
      <c r="HB1023" s="8"/>
      <c r="HC1023" s="8"/>
      <c r="HD1023" s="8"/>
      <c r="HE1023" s="8"/>
      <c r="HF1023" s="8"/>
      <c r="HG1023" s="8"/>
      <c r="HH1023" s="8"/>
      <c r="HI1023" s="8"/>
      <c r="HJ1023" s="8"/>
      <c r="HK1023" s="8"/>
      <c r="HL1023" s="8"/>
      <c r="HM1023" s="8"/>
      <c r="HN1023" s="8"/>
      <c r="HO1023" s="8"/>
      <c r="HP1023" s="8"/>
      <c r="HQ1023" s="8"/>
      <c r="HR1023" s="8"/>
      <c r="HS1023" s="8"/>
      <c r="HT1023" s="8"/>
      <c r="HU1023" s="8"/>
      <c r="HV1023" s="8"/>
      <c r="HW1023" s="8"/>
      <c r="HX1023" s="8"/>
      <c r="HY1023" s="8"/>
      <c r="HZ1023" s="8"/>
      <c r="IA1023" s="8"/>
      <c r="IB1023" s="8"/>
      <c r="IC1023" s="8"/>
      <c r="ID1023" s="8"/>
      <c r="IE1023" s="8"/>
      <c r="IF1023" s="8"/>
    </row>
    <row r="1024" spans="1:240" ht="30" customHeight="1">
      <c r="A1024" s="5">
        <v>1022</v>
      </c>
      <c r="B1024" s="5"/>
      <c r="C1024" s="5"/>
      <c r="D1024" s="5" t="s">
        <v>68</v>
      </c>
      <c r="E1024" s="5">
        <v>1980</v>
      </c>
      <c r="F1024" s="5">
        <v>1980</v>
      </c>
      <c r="G1024" s="5">
        <v>1910</v>
      </c>
      <c r="H1024" s="5">
        <v>630</v>
      </c>
      <c r="I1024" s="5" t="s">
        <v>13</v>
      </c>
      <c r="J1024" s="5">
        <f>650/1000*60</f>
        <v>39</v>
      </c>
      <c r="K1024" s="17">
        <v>5</v>
      </c>
      <c r="L1024" s="5">
        <v>175.84</v>
      </c>
      <c r="M1024" s="5" t="s">
        <v>48</v>
      </c>
      <c r="N1024" s="5" t="s">
        <v>48</v>
      </c>
      <c r="O1024" s="5">
        <f>330*60</f>
        <v>19800</v>
      </c>
      <c r="P1024" s="5"/>
      <c r="Q1024" s="5"/>
      <c r="R1024" s="5">
        <v>1</v>
      </c>
      <c r="S1024" s="5">
        <v>960</v>
      </c>
      <c r="T1024" s="5" t="s">
        <v>48</v>
      </c>
      <c r="U1024" s="5" t="s">
        <v>48</v>
      </c>
      <c r="V1024" s="15">
        <f>1*0.7457</f>
        <v>0.74570000000000003</v>
      </c>
      <c r="W1024" s="5" t="s">
        <v>48</v>
      </c>
      <c r="X1024" s="5" t="s">
        <v>60</v>
      </c>
      <c r="Y1024" s="5" t="s">
        <v>48</v>
      </c>
      <c r="Z1024" s="5" t="s">
        <v>48</v>
      </c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  <c r="BY1024" s="8"/>
      <c r="BZ1024" s="8"/>
      <c r="CA1024" s="8"/>
      <c r="CB1024" s="8"/>
      <c r="CC1024" s="8"/>
      <c r="CD1024" s="8"/>
      <c r="CE1024" s="8"/>
      <c r="CF1024" s="8"/>
      <c r="CG1024" s="8"/>
      <c r="CH1024" s="8"/>
      <c r="CI1024" s="8"/>
      <c r="CJ1024" s="8"/>
      <c r="CK1024" s="8"/>
      <c r="CL1024" s="8"/>
      <c r="CM1024" s="8"/>
      <c r="CN1024" s="8"/>
      <c r="CO1024" s="8"/>
      <c r="CP1024" s="8"/>
      <c r="CQ1024" s="8"/>
      <c r="CR1024" s="8"/>
      <c r="CS1024" s="8"/>
      <c r="CT1024" s="8"/>
      <c r="CU1024" s="8"/>
      <c r="CV1024" s="8"/>
      <c r="CW1024" s="8"/>
      <c r="CX1024" s="8"/>
      <c r="CY1024" s="8"/>
      <c r="CZ1024" s="8"/>
      <c r="DA1024" s="8"/>
      <c r="DB1024" s="8"/>
      <c r="DC1024" s="8"/>
      <c r="DD1024" s="8"/>
      <c r="DE1024" s="8"/>
      <c r="DF1024" s="8"/>
      <c r="DG1024" s="8"/>
      <c r="DH1024" s="8"/>
      <c r="DI1024" s="8"/>
      <c r="DJ1024" s="8"/>
      <c r="DK1024" s="8"/>
      <c r="DL1024" s="8"/>
      <c r="DM1024" s="8"/>
      <c r="DN1024" s="8"/>
      <c r="DO1024" s="8"/>
      <c r="DP1024" s="8"/>
      <c r="DQ1024" s="8"/>
      <c r="DR1024" s="8"/>
      <c r="DS1024" s="8"/>
      <c r="DT1024" s="8"/>
      <c r="DU1024" s="8"/>
      <c r="DV1024" s="8"/>
      <c r="DW1024" s="8"/>
      <c r="DX1024" s="8"/>
      <c r="DY1024" s="8"/>
      <c r="DZ1024" s="8"/>
      <c r="EA1024" s="8"/>
      <c r="EB1024" s="8"/>
      <c r="EC1024" s="8"/>
      <c r="ED1024" s="8"/>
      <c r="EE1024" s="8"/>
      <c r="EF1024" s="8"/>
      <c r="EG1024" s="8"/>
      <c r="EH1024" s="8"/>
      <c r="EI1024" s="8"/>
      <c r="EJ1024" s="8"/>
      <c r="EK1024" s="8"/>
      <c r="EL1024" s="8"/>
      <c r="EM1024" s="8"/>
      <c r="EN1024" s="8"/>
      <c r="EO1024" s="8"/>
      <c r="EP1024" s="8"/>
      <c r="EQ1024" s="8"/>
      <c r="ER1024" s="8"/>
      <c r="ES1024" s="8"/>
      <c r="ET1024" s="8"/>
      <c r="EU1024" s="8"/>
      <c r="EV1024" s="8"/>
      <c r="EW1024" s="8"/>
      <c r="EX1024" s="8"/>
      <c r="EY1024" s="8"/>
      <c r="EZ1024" s="8"/>
      <c r="FA1024" s="8"/>
      <c r="FB1024" s="8"/>
      <c r="FC1024" s="8"/>
      <c r="FD1024" s="8"/>
      <c r="FE1024" s="8"/>
      <c r="FF1024" s="8"/>
      <c r="FG1024" s="8"/>
      <c r="FH1024" s="8"/>
      <c r="FI1024" s="8"/>
      <c r="FJ1024" s="8"/>
      <c r="FK1024" s="8"/>
      <c r="FL1024" s="8"/>
      <c r="FM1024" s="8"/>
      <c r="FN1024" s="8"/>
      <c r="FO1024" s="8"/>
      <c r="FP1024" s="8"/>
      <c r="FQ1024" s="8"/>
      <c r="FR1024" s="8"/>
      <c r="FS1024" s="8"/>
      <c r="FT1024" s="8"/>
      <c r="FU1024" s="8"/>
      <c r="FV1024" s="8"/>
      <c r="FW1024" s="8"/>
      <c r="FX1024" s="8"/>
      <c r="FY1024" s="8"/>
      <c r="FZ1024" s="8"/>
      <c r="GA1024" s="8"/>
      <c r="GB1024" s="8"/>
      <c r="GC1024" s="8"/>
      <c r="GD1024" s="8"/>
      <c r="GE1024" s="8"/>
      <c r="GF1024" s="8"/>
      <c r="GG1024" s="8"/>
      <c r="GH1024" s="8"/>
      <c r="GI1024" s="8"/>
      <c r="GJ1024" s="8"/>
      <c r="GK1024" s="8"/>
      <c r="GL1024" s="8"/>
      <c r="GM1024" s="8"/>
      <c r="GN1024" s="8"/>
      <c r="GO1024" s="8"/>
      <c r="GP1024" s="8"/>
      <c r="GQ1024" s="8"/>
      <c r="GR1024" s="8"/>
      <c r="GS1024" s="8"/>
      <c r="GT1024" s="8"/>
      <c r="GU1024" s="8"/>
      <c r="GV1024" s="8"/>
      <c r="GW1024" s="8"/>
      <c r="GX1024" s="8"/>
      <c r="GY1024" s="8"/>
      <c r="GZ1024" s="8"/>
      <c r="HA1024" s="8"/>
      <c r="HB1024" s="8"/>
      <c r="HC1024" s="8"/>
      <c r="HD1024" s="8"/>
      <c r="HE1024" s="8"/>
      <c r="HF1024" s="8"/>
      <c r="HG1024" s="8"/>
      <c r="HH1024" s="8"/>
      <c r="HI1024" s="8"/>
      <c r="HJ1024" s="8"/>
      <c r="HK1024" s="8"/>
      <c r="HL1024" s="8"/>
      <c r="HM1024" s="8"/>
      <c r="HN1024" s="8"/>
      <c r="HO1024" s="8"/>
      <c r="HP1024" s="8"/>
      <c r="HQ1024" s="8"/>
      <c r="HR1024" s="8"/>
      <c r="HS1024" s="8"/>
      <c r="HT1024" s="8"/>
      <c r="HU1024" s="8"/>
      <c r="HV1024" s="8"/>
      <c r="HW1024" s="8"/>
      <c r="HX1024" s="8"/>
      <c r="HY1024" s="8"/>
      <c r="HZ1024" s="8"/>
      <c r="IA1024" s="8"/>
      <c r="IB1024" s="8"/>
      <c r="IC1024" s="8"/>
      <c r="ID1024" s="8"/>
      <c r="IE1024" s="8"/>
      <c r="IF1024" s="8"/>
    </row>
    <row r="1025" spans="1:240" ht="30" customHeight="1">
      <c r="A1025" s="5">
        <v>1023</v>
      </c>
      <c r="B1025" s="5"/>
      <c r="C1025" s="5"/>
      <c r="D1025" s="5" t="s">
        <v>68</v>
      </c>
      <c r="E1025" s="5">
        <v>1980</v>
      </c>
      <c r="F1025" s="5">
        <v>1980</v>
      </c>
      <c r="G1025" s="5">
        <v>1910</v>
      </c>
      <c r="H1025" s="5">
        <v>650</v>
      </c>
      <c r="I1025" s="5" t="s">
        <v>13</v>
      </c>
      <c r="J1025" s="5">
        <f>780/1000*60</f>
        <v>46.800000000000004</v>
      </c>
      <c r="K1025" s="17">
        <v>5</v>
      </c>
      <c r="L1025" s="5">
        <v>211.01</v>
      </c>
      <c r="M1025" s="5" t="s">
        <v>48</v>
      </c>
      <c r="N1025" s="5" t="s">
        <v>48</v>
      </c>
      <c r="O1025" s="5">
        <f>420*60</f>
        <v>25200</v>
      </c>
      <c r="P1025" s="5"/>
      <c r="Q1025" s="5"/>
      <c r="R1025" s="5">
        <v>1</v>
      </c>
      <c r="S1025" s="5">
        <v>960</v>
      </c>
      <c r="T1025" s="5" t="s">
        <v>48</v>
      </c>
      <c r="U1025" s="5" t="s">
        <v>48</v>
      </c>
      <c r="V1025" s="15">
        <f>1.5 * 0.7457</f>
        <v>1.1185499999999999</v>
      </c>
      <c r="W1025" s="5" t="s">
        <v>48</v>
      </c>
      <c r="X1025" s="5" t="s">
        <v>60</v>
      </c>
      <c r="Y1025" s="5" t="s">
        <v>48</v>
      </c>
      <c r="Z1025" s="5" t="s">
        <v>48</v>
      </c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  <c r="BY1025" s="8"/>
      <c r="BZ1025" s="8"/>
      <c r="CA1025" s="8"/>
      <c r="CB1025" s="8"/>
      <c r="CC1025" s="8"/>
      <c r="CD1025" s="8"/>
      <c r="CE1025" s="8"/>
      <c r="CF1025" s="8"/>
      <c r="CG1025" s="8"/>
      <c r="CH1025" s="8"/>
      <c r="CI1025" s="8"/>
      <c r="CJ1025" s="8"/>
      <c r="CK1025" s="8"/>
      <c r="CL1025" s="8"/>
      <c r="CM1025" s="8"/>
      <c r="CN1025" s="8"/>
      <c r="CO1025" s="8"/>
      <c r="CP1025" s="8"/>
      <c r="CQ1025" s="8"/>
      <c r="CR1025" s="8"/>
      <c r="CS1025" s="8"/>
      <c r="CT1025" s="8"/>
      <c r="CU1025" s="8"/>
      <c r="CV1025" s="8"/>
      <c r="CW1025" s="8"/>
      <c r="CX1025" s="8"/>
      <c r="CY1025" s="8"/>
      <c r="CZ1025" s="8"/>
      <c r="DA1025" s="8"/>
      <c r="DB1025" s="8"/>
      <c r="DC1025" s="8"/>
      <c r="DD1025" s="8"/>
      <c r="DE1025" s="8"/>
      <c r="DF1025" s="8"/>
      <c r="DG1025" s="8"/>
      <c r="DH1025" s="8"/>
      <c r="DI1025" s="8"/>
      <c r="DJ1025" s="8"/>
      <c r="DK1025" s="8"/>
      <c r="DL1025" s="8"/>
      <c r="DM1025" s="8"/>
      <c r="DN1025" s="8"/>
      <c r="DO1025" s="8"/>
      <c r="DP1025" s="8"/>
      <c r="DQ1025" s="8"/>
      <c r="DR1025" s="8"/>
      <c r="DS1025" s="8"/>
      <c r="DT1025" s="8"/>
      <c r="DU1025" s="8"/>
      <c r="DV1025" s="8"/>
      <c r="DW1025" s="8"/>
      <c r="DX1025" s="8"/>
      <c r="DY1025" s="8"/>
      <c r="DZ1025" s="8"/>
      <c r="EA1025" s="8"/>
      <c r="EB1025" s="8"/>
      <c r="EC1025" s="8"/>
      <c r="ED1025" s="8"/>
      <c r="EE1025" s="8"/>
      <c r="EF1025" s="8"/>
      <c r="EG1025" s="8"/>
      <c r="EH1025" s="8"/>
      <c r="EI1025" s="8"/>
      <c r="EJ1025" s="8"/>
      <c r="EK1025" s="8"/>
      <c r="EL1025" s="8"/>
      <c r="EM1025" s="8"/>
      <c r="EN1025" s="8"/>
      <c r="EO1025" s="8"/>
      <c r="EP1025" s="8"/>
      <c r="EQ1025" s="8"/>
      <c r="ER1025" s="8"/>
      <c r="ES1025" s="8"/>
      <c r="ET1025" s="8"/>
      <c r="EU1025" s="8"/>
      <c r="EV1025" s="8"/>
      <c r="EW1025" s="8"/>
      <c r="EX1025" s="8"/>
      <c r="EY1025" s="8"/>
      <c r="EZ1025" s="8"/>
      <c r="FA1025" s="8"/>
      <c r="FB1025" s="8"/>
      <c r="FC1025" s="8"/>
      <c r="FD1025" s="8"/>
      <c r="FE1025" s="8"/>
      <c r="FF1025" s="8"/>
      <c r="FG1025" s="8"/>
      <c r="FH1025" s="8"/>
      <c r="FI1025" s="8"/>
      <c r="FJ1025" s="8"/>
      <c r="FK1025" s="8"/>
      <c r="FL1025" s="8"/>
      <c r="FM1025" s="8"/>
      <c r="FN1025" s="8"/>
      <c r="FO1025" s="8"/>
      <c r="FP1025" s="8"/>
      <c r="FQ1025" s="8"/>
      <c r="FR1025" s="8"/>
      <c r="FS1025" s="8"/>
      <c r="FT1025" s="8"/>
      <c r="FU1025" s="8"/>
      <c r="FV1025" s="8"/>
      <c r="FW1025" s="8"/>
      <c r="FX1025" s="8"/>
      <c r="FY1025" s="8"/>
      <c r="FZ1025" s="8"/>
      <c r="GA1025" s="8"/>
      <c r="GB1025" s="8"/>
      <c r="GC1025" s="8"/>
      <c r="GD1025" s="8"/>
      <c r="GE1025" s="8"/>
      <c r="GF1025" s="8"/>
      <c r="GG1025" s="8"/>
      <c r="GH1025" s="8"/>
      <c r="GI1025" s="8"/>
      <c r="GJ1025" s="8"/>
      <c r="GK1025" s="8"/>
      <c r="GL1025" s="8"/>
      <c r="GM1025" s="8"/>
      <c r="GN1025" s="8"/>
      <c r="GO1025" s="8"/>
      <c r="GP1025" s="8"/>
      <c r="GQ1025" s="8"/>
      <c r="GR1025" s="8"/>
      <c r="GS1025" s="8"/>
      <c r="GT1025" s="8"/>
      <c r="GU1025" s="8"/>
      <c r="GV1025" s="8"/>
      <c r="GW1025" s="8"/>
      <c r="GX1025" s="8"/>
      <c r="GY1025" s="8"/>
      <c r="GZ1025" s="8"/>
      <c r="HA1025" s="8"/>
      <c r="HB1025" s="8"/>
      <c r="HC1025" s="8"/>
      <c r="HD1025" s="8"/>
      <c r="HE1025" s="8"/>
      <c r="HF1025" s="8"/>
      <c r="HG1025" s="8"/>
      <c r="HH1025" s="8"/>
      <c r="HI1025" s="8"/>
      <c r="HJ1025" s="8"/>
      <c r="HK1025" s="8"/>
      <c r="HL1025" s="8"/>
      <c r="HM1025" s="8"/>
      <c r="HN1025" s="8"/>
      <c r="HO1025" s="8"/>
      <c r="HP1025" s="8"/>
      <c r="HQ1025" s="8"/>
      <c r="HR1025" s="8"/>
      <c r="HS1025" s="8"/>
      <c r="HT1025" s="8"/>
      <c r="HU1025" s="8"/>
      <c r="HV1025" s="8"/>
      <c r="HW1025" s="8"/>
      <c r="HX1025" s="8"/>
      <c r="HY1025" s="8"/>
      <c r="HZ1025" s="8"/>
      <c r="IA1025" s="8"/>
      <c r="IB1025" s="8"/>
      <c r="IC1025" s="8"/>
      <c r="ID1025" s="8"/>
      <c r="IE1025" s="8"/>
      <c r="IF1025" s="8"/>
    </row>
    <row r="1026" spans="1:240" ht="30" customHeight="1">
      <c r="A1026" s="5">
        <v>1024</v>
      </c>
      <c r="B1026" s="5"/>
      <c r="C1026" s="5"/>
      <c r="D1026" s="5" t="s">
        <v>68</v>
      </c>
      <c r="E1026" s="5">
        <v>2160</v>
      </c>
      <c r="F1026" s="5">
        <v>2160</v>
      </c>
      <c r="G1026" s="5">
        <v>2000</v>
      </c>
      <c r="H1026" s="5">
        <v>680</v>
      </c>
      <c r="I1026" s="5" t="s">
        <v>13</v>
      </c>
      <c r="J1026" s="5">
        <f>910/1000*60</f>
        <v>54.6</v>
      </c>
      <c r="K1026" s="17">
        <v>5</v>
      </c>
      <c r="L1026" s="5">
        <v>246.18</v>
      </c>
      <c r="M1026" s="5" t="s">
        <v>48</v>
      </c>
      <c r="N1026" s="5" t="s">
        <v>48</v>
      </c>
      <c r="O1026" s="5">
        <f>510*60</f>
        <v>30600</v>
      </c>
      <c r="P1026" s="5"/>
      <c r="Q1026" s="5"/>
      <c r="R1026" s="5">
        <v>1</v>
      </c>
      <c r="S1026" s="5">
        <v>1160</v>
      </c>
      <c r="T1026" s="5" t="s">
        <v>48</v>
      </c>
      <c r="U1026" s="5" t="s">
        <v>48</v>
      </c>
      <c r="V1026" s="15">
        <f>1.5 * 0.7457</f>
        <v>1.1185499999999999</v>
      </c>
      <c r="W1026" s="5" t="s">
        <v>48</v>
      </c>
      <c r="X1026" s="5" t="s">
        <v>62</v>
      </c>
      <c r="Y1026" s="5" t="s">
        <v>48</v>
      </c>
      <c r="Z1026" s="5" t="s">
        <v>48</v>
      </c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  <c r="BY1026" s="8"/>
      <c r="BZ1026" s="8"/>
      <c r="CA1026" s="8"/>
      <c r="CB1026" s="8"/>
      <c r="CC1026" s="8"/>
      <c r="CD1026" s="8"/>
      <c r="CE1026" s="8"/>
      <c r="CF1026" s="8"/>
      <c r="CG1026" s="8"/>
      <c r="CH1026" s="8"/>
      <c r="CI1026" s="8"/>
      <c r="CJ1026" s="8"/>
      <c r="CK1026" s="8"/>
      <c r="CL1026" s="8"/>
      <c r="CM1026" s="8"/>
      <c r="CN1026" s="8"/>
      <c r="CO1026" s="8"/>
      <c r="CP1026" s="8"/>
      <c r="CQ1026" s="8"/>
      <c r="CR1026" s="8"/>
      <c r="CS1026" s="8"/>
      <c r="CT1026" s="8"/>
      <c r="CU1026" s="8"/>
      <c r="CV1026" s="8"/>
      <c r="CW1026" s="8"/>
      <c r="CX1026" s="8"/>
      <c r="CY1026" s="8"/>
      <c r="CZ1026" s="8"/>
      <c r="DA1026" s="8"/>
      <c r="DB1026" s="8"/>
      <c r="DC1026" s="8"/>
      <c r="DD1026" s="8"/>
      <c r="DE1026" s="8"/>
      <c r="DF1026" s="8"/>
      <c r="DG1026" s="8"/>
      <c r="DH1026" s="8"/>
      <c r="DI1026" s="8"/>
      <c r="DJ1026" s="8"/>
      <c r="DK1026" s="8"/>
      <c r="DL1026" s="8"/>
      <c r="DM1026" s="8"/>
      <c r="DN1026" s="8"/>
      <c r="DO1026" s="8"/>
      <c r="DP1026" s="8"/>
      <c r="DQ1026" s="8"/>
      <c r="DR1026" s="8"/>
      <c r="DS1026" s="8"/>
      <c r="DT1026" s="8"/>
      <c r="DU1026" s="8"/>
      <c r="DV1026" s="8"/>
      <c r="DW1026" s="8"/>
      <c r="DX1026" s="8"/>
      <c r="DY1026" s="8"/>
      <c r="DZ1026" s="8"/>
      <c r="EA1026" s="8"/>
      <c r="EB1026" s="8"/>
      <c r="EC1026" s="8"/>
      <c r="ED1026" s="8"/>
      <c r="EE1026" s="8"/>
      <c r="EF1026" s="8"/>
      <c r="EG1026" s="8"/>
      <c r="EH1026" s="8"/>
      <c r="EI1026" s="8"/>
      <c r="EJ1026" s="8"/>
      <c r="EK1026" s="8"/>
      <c r="EL1026" s="8"/>
      <c r="EM1026" s="8"/>
      <c r="EN1026" s="8"/>
      <c r="EO1026" s="8"/>
      <c r="EP1026" s="8"/>
      <c r="EQ1026" s="8"/>
      <c r="ER1026" s="8"/>
      <c r="ES1026" s="8"/>
      <c r="ET1026" s="8"/>
      <c r="EU1026" s="8"/>
      <c r="EV1026" s="8"/>
      <c r="EW1026" s="8"/>
      <c r="EX1026" s="8"/>
      <c r="EY1026" s="8"/>
      <c r="EZ1026" s="8"/>
      <c r="FA1026" s="8"/>
      <c r="FB1026" s="8"/>
      <c r="FC1026" s="8"/>
      <c r="FD1026" s="8"/>
      <c r="FE1026" s="8"/>
      <c r="FF1026" s="8"/>
      <c r="FG1026" s="8"/>
      <c r="FH1026" s="8"/>
      <c r="FI1026" s="8"/>
      <c r="FJ1026" s="8"/>
      <c r="FK1026" s="8"/>
      <c r="FL1026" s="8"/>
      <c r="FM1026" s="8"/>
      <c r="FN1026" s="8"/>
      <c r="FO1026" s="8"/>
      <c r="FP1026" s="8"/>
      <c r="FQ1026" s="8"/>
      <c r="FR1026" s="8"/>
      <c r="FS1026" s="8"/>
      <c r="FT1026" s="8"/>
      <c r="FU1026" s="8"/>
      <c r="FV1026" s="8"/>
      <c r="FW1026" s="8"/>
      <c r="FX1026" s="8"/>
      <c r="FY1026" s="8"/>
      <c r="FZ1026" s="8"/>
      <c r="GA1026" s="8"/>
      <c r="GB1026" s="8"/>
      <c r="GC1026" s="8"/>
      <c r="GD1026" s="8"/>
      <c r="GE1026" s="8"/>
      <c r="GF1026" s="8"/>
      <c r="GG1026" s="8"/>
      <c r="GH1026" s="8"/>
      <c r="GI1026" s="8"/>
      <c r="GJ1026" s="8"/>
      <c r="GK1026" s="8"/>
      <c r="GL1026" s="8"/>
      <c r="GM1026" s="8"/>
      <c r="GN1026" s="8"/>
      <c r="GO1026" s="8"/>
      <c r="GP1026" s="8"/>
      <c r="GQ1026" s="8"/>
      <c r="GR1026" s="8"/>
      <c r="GS1026" s="8"/>
      <c r="GT1026" s="8"/>
      <c r="GU1026" s="8"/>
      <c r="GV1026" s="8"/>
      <c r="GW1026" s="8"/>
      <c r="GX1026" s="8"/>
      <c r="GY1026" s="8"/>
      <c r="GZ1026" s="8"/>
      <c r="HA1026" s="8"/>
      <c r="HB1026" s="8"/>
      <c r="HC1026" s="8"/>
      <c r="HD1026" s="8"/>
      <c r="HE1026" s="8"/>
      <c r="HF1026" s="8"/>
      <c r="HG1026" s="8"/>
      <c r="HH1026" s="8"/>
      <c r="HI1026" s="8"/>
      <c r="HJ1026" s="8"/>
      <c r="HK1026" s="8"/>
      <c r="HL1026" s="8"/>
      <c r="HM1026" s="8"/>
      <c r="HN1026" s="8"/>
      <c r="HO1026" s="8"/>
      <c r="HP1026" s="8"/>
      <c r="HQ1026" s="8"/>
      <c r="HR1026" s="8"/>
      <c r="HS1026" s="8"/>
      <c r="HT1026" s="8"/>
      <c r="HU1026" s="8"/>
      <c r="HV1026" s="8"/>
      <c r="HW1026" s="8"/>
      <c r="HX1026" s="8"/>
      <c r="HY1026" s="8"/>
      <c r="HZ1026" s="8"/>
      <c r="IA1026" s="8"/>
      <c r="IB1026" s="8"/>
      <c r="IC1026" s="8"/>
      <c r="ID1026" s="8"/>
      <c r="IE1026" s="8"/>
      <c r="IF1026" s="8"/>
    </row>
    <row r="1027" spans="1:240" ht="30" customHeight="1">
      <c r="A1027" s="5">
        <v>1025</v>
      </c>
      <c r="B1027" s="5"/>
      <c r="C1027" s="5"/>
      <c r="D1027" s="5" t="s">
        <v>68</v>
      </c>
      <c r="E1027" s="5">
        <v>2160</v>
      </c>
      <c r="F1027" s="5">
        <v>2160</v>
      </c>
      <c r="G1027" s="5">
        <v>2000</v>
      </c>
      <c r="H1027" s="5">
        <v>700</v>
      </c>
      <c r="I1027" s="5" t="s">
        <v>13</v>
      </c>
      <c r="J1027" s="5">
        <f>1040/1000*60</f>
        <v>62.400000000000006</v>
      </c>
      <c r="K1027" s="17">
        <v>5</v>
      </c>
      <c r="L1027" s="5">
        <v>281.35000000000002</v>
      </c>
      <c r="M1027" s="5" t="s">
        <v>48</v>
      </c>
      <c r="N1027" s="5" t="s">
        <v>48</v>
      </c>
      <c r="O1027" s="5">
        <f>550*60</f>
        <v>33000</v>
      </c>
      <c r="P1027" s="5"/>
      <c r="Q1027" s="5"/>
      <c r="R1027" s="5">
        <v>1</v>
      </c>
      <c r="S1027" s="5">
        <v>1160</v>
      </c>
      <c r="T1027" s="5" t="s">
        <v>48</v>
      </c>
      <c r="U1027" s="5" t="s">
        <v>48</v>
      </c>
      <c r="V1027" s="15">
        <f>1.5 * 0.7457</f>
        <v>1.1185499999999999</v>
      </c>
      <c r="W1027" s="5" t="s">
        <v>48</v>
      </c>
      <c r="X1027" s="5" t="s">
        <v>63</v>
      </c>
      <c r="Y1027" s="5" t="s">
        <v>48</v>
      </c>
      <c r="Z1027" s="5" t="s">
        <v>48</v>
      </c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  <c r="BY1027" s="8"/>
      <c r="BZ1027" s="8"/>
      <c r="CA1027" s="8"/>
      <c r="CB1027" s="8"/>
      <c r="CC1027" s="8"/>
      <c r="CD1027" s="8"/>
      <c r="CE1027" s="8"/>
      <c r="CF1027" s="8"/>
      <c r="CG1027" s="8"/>
      <c r="CH1027" s="8"/>
      <c r="CI1027" s="8"/>
      <c r="CJ1027" s="8"/>
      <c r="CK1027" s="8"/>
      <c r="CL1027" s="8"/>
      <c r="CM1027" s="8"/>
      <c r="CN1027" s="8"/>
      <c r="CO1027" s="8"/>
      <c r="CP1027" s="8"/>
      <c r="CQ1027" s="8"/>
      <c r="CR1027" s="8"/>
      <c r="CS1027" s="8"/>
      <c r="CT1027" s="8"/>
      <c r="CU1027" s="8"/>
      <c r="CV1027" s="8"/>
      <c r="CW1027" s="8"/>
      <c r="CX1027" s="8"/>
      <c r="CY1027" s="8"/>
      <c r="CZ1027" s="8"/>
      <c r="DA1027" s="8"/>
      <c r="DB1027" s="8"/>
      <c r="DC1027" s="8"/>
      <c r="DD1027" s="8"/>
      <c r="DE1027" s="8"/>
      <c r="DF1027" s="8"/>
      <c r="DG1027" s="8"/>
      <c r="DH1027" s="8"/>
      <c r="DI1027" s="8"/>
      <c r="DJ1027" s="8"/>
      <c r="DK1027" s="8"/>
      <c r="DL1027" s="8"/>
      <c r="DM1027" s="8"/>
      <c r="DN1027" s="8"/>
      <c r="DO1027" s="8"/>
      <c r="DP1027" s="8"/>
      <c r="DQ1027" s="8"/>
      <c r="DR1027" s="8"/>
      <c r="DS1027" s="8"/>
      <c r="DT1027" s="8"/>
      <c r="DU1027" s="8"/>
      <c r="DV1027" s="8"/>
      <c r="DW1027" s="8"/>
      <c r="DX1027" s="8"/>
      <c r="DY1027" s="8"/>
      <c r="DZ1027" s="8"/>
      <c r="EA1027" s="8"/>
      <c r="EB1027" s="8"/>
      <c r="EC1027" s="8"/>
      <c r="ED1027" s="8"/>
      <c r="EE1027" s="8"/>
      <c r="EF1027" s="8"/>
      <c r="EG1027" s="8"/>
      <c r="EH1027" s="8"/>
      <c r="EI1027" s="8"/>
      <c r="EJ1027" s="8"/>
      <c r="EK1027" s="8"/>
      <c r="EL1027" s="8"/>
      <c r="EM1027" s="8"/>
      <c r="EN1027" s="8"/>
      <c r="EO1027" s="8"/>
      <c r="EP1027" s="8"/>
      <c r="EQ1027" s="8"/>
      <c r="ER1027" s="8"/>
      <c r="ES1027" s="8"/>
      <c r="ET1027" s="8"/>
      <c r="EU1027" s="8"/>
      <c r="EV1027" s="8"/>
      <c r="EW1027" s="8"/>
      <c r="EX1027" s="8"/>
      <c r="EY1027" s="8"/>
      <c r="EZ1027" s="8"/>
      <c r="FA1027" s="8"/>
      <c r="FB1027" s="8"/>
      <c r="FC1027" s="8"/>
      <c r="FD1027" s="8"/>
      <c r="FE1027" s="8"/>
      <c r="FF1027" s="8"/>
      <c r="FG1027" s="8"/>
      <c r="FH1027" s="8"/>
      <c r="FI1027" s="8"/>
      <c r="FJ1027" s="8"/>
      <c r="FK1027" s="8"/>
      <c r="FL1027" s="8"/>
      <c r="FM1027" s="8"/>
      <c r="FN1027" s="8"/>
      <c r="FO1027" s="8"/>
      <c r="FP1027" s="8"/>
      <c r="FQ1027" s="8"/>
      <c r="FR1027" s="8"/>
      <c r="FS1027" s="8"/>
      <c r="FT1027" s="8"/>
      <c r="FU1027" s="8"/>
      <c r="FV1027" s="8"/>
      <c r="FW1027" s="8"/>
      <c r="FX1027" s="8"/>
      <c r="FY1027" s="8"/>
      <c r="FZ1027" s="8"/>
      <c r="GA1027" s="8"/>
      <c r="GB1027" s="8"/>
      <c r="GC1027" s="8"/>
      <c r="GD1027" s="8"/>
      <c r="GE1027" s="8"/>
      <c r="GF1027" s="8"/>
      <c r="GG1027" s="8"/>
      <c r="GH1027" s="8"/>
      <c r="GI1027" s="8"/>
      <c r="GJ1027" s="8"/>
      <c r="GK1027" s="8"/>
      <c r="GL1027" s="8"/>
      <c r="GM1027" s="8"/>
      <c r="GN1027" s="8"/>
      <c r="GO1027" s="8"/>
      <c r="GP1027" s="8"/>
      <c r="GQ1027" s="8"/>
      <c r="GR1027" s="8"/>
      <c r="GS1027" s="8"/>
      <c r="GT1027" s="8"/>
      <c r="GU1027" s="8"/>
      <c r="GV1027" s="8"/>
      <c r="GW1027" s="8"/>
      <c r="GX1027" s="8"/>
      <c r="GY1027" s="8"/>
      <c r="GZ1027" s="8"/>
      <c r="HA1027" s="8"/>
      <c r="HB1027" s="8"/>
      <c r="HC1027" s="8"/>
      <c r="HD1027" s="8"/>
      <c r="HE1027" s="8"/>
      <c r="HF1027" s="8"/>
      <c r="HG1027" s="8"/>
      <c r="HH1027" s="8"/>
      <c r="HI1027" s="8"/>
      <c r="HJ1027" s="8"/>
      <c r="HK1027" s="8"/>
      <c r="HL1027" s="8"/>
      <c r="HM1027" s="8"/>
      <c r="HN1027" s="8"/>
      <c r="HO1027" s="8"/>
      <c r="HP1027" s="8"/>
      <c r="HQ1027" s="8"/>
      <c r="HR1027" s="8"/>
      <c r="HS1027" s="8"/>
      <c r="HT1027" s="8"/>
      <c r="HU1027" s="8"/>
      <c r="HV1027" s="8"/>
      <c r="HW1027" s="8"/>
      <c r="HX1027" s="8"/>
      <c r="HY1027" s="8"/>
      <c r="HZ1027" s="8"/>
      <c r="IA1027" s="8"/>
      <c r="IB1027" s="8"/>
      <c r="IC1027" s="8"/>
      <c r="ID1027" s="8"/>
      <c r="IE1027" s="8"/>
      <c r="IF1027" s="8"/>
    </row>
    <row r="1028" spans="1:240" ht="30" customHeight="1">
      <c r="A1028" s="5">
        <v>1026</v>
      </c>
      <c r="B1028" s="5"/>
      <c r="C1028" s="5"/>
      <c r="D1028" s="5" t="s">
        <v>68</v>
      </c>
      <c r="E1028" s="5">
        <v>2660</v>
      </c>
      <c r="F1028" s="5">
        <v>2660</v>
      </c>
      <c r="G1028" s="5">
        <v>2100</v>
      </c>
      <c r="H1028" s="5">
        <v>1110</v>
      </c>
      <c r="I1028" s="5" t="s">
        <v>13</v>
      </c>
      <c r="J1028" s="5">
        <f>1300/1000*60</f>
        <v>78</v>
      </c>
      <c r="K1028" s="17">
        <v>5</v>
      </c>
      <c r="L1028" s="5">
        <v>351.69</v>
      </c>
      <c r="M1028" s="5" t="s">
        <v>48</v>
      </c>
      <c r="N1028" s="5" t="s">
        <v>48</v>
      </c>
      <c r="O1028" s="5">
        <f>700*60</f>
        <v>42000</v>
      </c>
      <c r="P1028" s="5"/>
      <c r="Q1028" s="5"/>
      <c r="R1028" s="5">
        <v>1</v>
      </c>
      <c r="S1028" s="5">
        <v>1500</v>
      </c>
      <c r="T1028" s="5" t="s">
        <v>48</v>
      </c>
      <c r="U1028" s="5" t="s">
        <v>48</v>
      </c>
      <c r="V1028" s="15">
        <f>2*0.7457</f>
        <v>1.4914000000000001</v>
      </c>
      <c r="W1028" s="5" t="s">
        <v>48</v>
      </c>
      <c r="X1028" s="5" t="s">
        <v>60</v>
      </c>
      <c r="Y1028" s="5" t="s">
        <v>48</v>
      </c>
      <c r="Z1028" s="5" t="s">
        <v>48</v>
      </c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  <c r="BY1028" s="8"/>
      <c r="BZ1028" s="8"/>
      <c r="CA1028" s="8"/>
      <c r="CB1028" s="8"/>
      <c r="CC1028" s="8"/>
      <c r="CD1028" s="8"/>
      <c r="CE1028" s="8"/>
      <c r="CF1028" s="8"/>
      <c r="CG1028" s="8"/>
      <c r="CH1028" s="8"/>
      <c r="CI1028" s="8"/>
      <c r="CJ1028" s="8"/>
      <c r="CK1028" s="8"/>
      <c r="CL1028" s="8"/>
      <c r="CM1028" s="8"/>
      <c r="CN1028" s="8"/>
      <c r="CO1028" s="8"/>
      <c r="CP1028" s="8"/>
      <c r="CQ1028" s="8"/>
      <c r="CR1028" s="8"/>
      <c r="CS1028" s="8"/>
      <c r="CT1028" s="8"/>
      <c r="CU1028" s="8"/>
      <c r="CV1028" s="8"/>
      <c r="CW1028" s="8"/>
      <c r="CX1028" s="8"/>
      <c r="CY1028" s="8"/>
      <c r="CZ1028" s="8"/>
      <c r="DA1028" s="8"/>
      <c r="DB1028" s="8"/>
      <c r="DC1028" s="8"/>
      <c r="DD1028" s="8"/>
      <c r="DE1028" s="8"/>
      <c r="DF1028" s="8"/>
      <c r="DG1028" s="8"/>
      <c r="DH1028" s="8"/>
      <c r="DI1028" s="8"/>
      <c r="DJ1028" s="8"/>
      <c r="DK1028" s="8"/>
      <c r="DL1028" s="8"/>
      <c r="DM1028" s="8"/>
      <c r="DN1028" s="8"/>
      <c r="DO1028" s="8"/>
      <c r="DP1028" s="8"/>
      <c r="DQ1028" s="8"/>
      <c r="DR1028" s="8"/>
      <c r="DS1028" s="8"/>
      <c r="DT1028" s="8"/>
      <c r="DU1028" s="8"/>
      <c r="DV1028" s="8"/>
      <c r="DW1028" s="8"/>
      <c r="DX1028" s="8"/>
      <c r="DY1028" s="8"/>
      <c r="DZ1028" s="8"/>
      <c r="EA1028" s="8"/>
      <c r="EB1028" s="8"/>
      <c r="EC1028" s="8"/>
      <c r="ED1028" s="8"/>
      <c r="EE1028" s="8"/>
      <c r="EF1028" s="8"/>
      <c r="EG1028" s="8"/>
      <c r="EH1028" s="8"/>
      <c r="EI1028" s="8"/>
      <c r="EJ1028" s="8"/>
      <c r="EK1028" s="8"/>
      <c r="EL1028" s="8"/>
      <c r="EM1028" s="8"/>
      <c r="EN1028" s="8"/>
      <c r="EO1028" s="8"/>
      <c r="EP1028" s="8"/>
      <c r="EQ1028" s="8"/>
      <c r="ER1028" s="8"/>
      <c r="ES1028" s="8"/>
      <c r="ET1028" s="8"/>
      <c r="EU1028" s="8"/>
      <c r="EV1028" s="8"/>
      <c r="EW1028" s="8"/>
      <c r="EX1028" s="8"/>
      <c r="EY1028" s="8"/>
      <c r="EZ1028" s="8"/>
      <c r="FA1028" s="8"/>
      <c r="FB1028" s="8"/>
      <c r="FC1028" s="8"/>
      <c r="FD1028" s="8"/>
      <c r="FE1028" s="8"/>
      <c r="FF1028" s="8"/>
      <c r="FG1028" s="8"/>
      <c r="FH1028" s="8"/>
      <c r="FI1028" s="8"/>
      <c r="FJ1028" s="8"/>
      <c r="FK1028" s="8"/>
      <c r="FL1028" s="8"/>
      <c r="FM1028" s="8"/>
      <c r="FN1028" s="8"/>
      <c r="FO1028" s="8"/>
      <c r="FP1028" s="8"/>
      <c r="FQ1028" s="8"/>
      <c r="FR1028" s="8"/>
      <c r="FS1028" s="8"/>
      <c r="FT1028" s="8"/>
      <c r="FU1028" s="8"/>
      <c r="FV1028" s="8"/>
      <c r="FW1028" s="8"/>
      <c r="FX1028" s="8"/>
      <c r="FY1028" s="8"/>
      <c r="FZ1028" s="8"/>
      <c r="GA1028" s="8"/>
      <c r="GB1028" s="8"/>
      <c r="GC1028" s="8"/>
      <c r="GD1028" s="8"/>
      <c r="GE1028" s="8"/>
      <c r="GF1028" s="8"/>
      <c r="GG1028" s="8"/>
      <c r="GH1028" s="8"/>
      <c r="GI1028" s="8"/>
      <c r="GJ1028" s="8"/>
      <c r="GK1028" s="8"/>
      <c r="GL1028" s="8"/>
      <c r="GM1028" s="8"/>
      <c r="GN1028" s="8"/>
      <c r="GO1028" s="8"/>
      <c r="GP1028" s="8"/>
      <c r="GQ1028" s="8"/>
      <c r="GR1028" s="8"/>
      <c r="GS1028" s="8"/>
      <c r="GT1028" s="8"/>
      <c r="GU1028" s="8"/>
      <c r="GV1028" s="8"/>
      <c r="GW1028" s="8"/>
      <c r="GX1028" s="8"/>
      <c r="GY1028" s="8"/>
      <c r="GZ1028" s="8"/>
      <c r="HA1028" s="8"/>
      <c r="HB1028" s="8"/>
      <c r="HC1028" s="8"/>
      <c r="HD1028" s="8"/>
      <c r="HE1028" s="8"/>
      <c r="HF1028" s="8"/>
      <c r="HG1028" s="8"/>
      <c r="HH1028" s="8"/>
      <c r="HI1028" s="8"/>
      <c r="HJ1028" s="8"/>
      <c r="HK1028" s="8"/>
      <c r="HL1028" s="8"/>
      <c r="HM1028" s="8"/>
      <c r="HN1028" s="8"/>
      <c r="HO1028" s="8"/>
      <c r="HP1028" s="8"/>
      <c r="HQ1028" s="8"/>
      <c r="HR1028" s="8"/>
      <c r="HS1028" s="8"/>
      <c r="HT1028" s="8"/>
      <c r="HU1028" s="8"/>
      <c r="HV1028" s="8"/>
      <c r="HW1028" s="8"/>
      <c r="HX1028" s="8"/>
      <c r="HY1028" s="8"/>
      <c r="HZ1028" s="8"/>
      <c r="IA1028" s="8"/>
      <c r="IB1028" s="8"/>
      <c r="IC1028" s="8"/>
      <c r="ID1028" s="8"/>
      <c r="IE1028" s="8"/>
      <c r="IF1028" s="8"/>
    </row>
    <row r="1029" spans="1:240" ht="30" customHeight="1">
      <c r="A1029" s="5">
        <v>1027</v>
      </c>
      <c r="B1029" s="5"/>
      <c r="C1029" s="5"/>
      <c r="D1029" s="5" t="s">
        <v>68</v>
      </c>
      <c r="E1029" s="5">
        <v>2660</v>
      </c>
      <c r="F1029" s="5">
        <v>2660</v>
      </c>
      <c r="G1029" s="5">
        <v>2100</v>
      </c>
      <c r="H1029" s="5">
        <v>1300</v>
      </c>
      <c r="I1029" s="5" t="s">
        <v>13</v>
      </c>
      <c r="J1029" s="5">
        <f>1675/1000*60</f>
        <v>100.5</v>
      </c>
      <c r="K1029" s="17">
        <v>5</v>
      </c>
      <c r="L1029" s="5">
        <v>439.61</v>
      </c>
      <c r="M1029" s="5" t="s">
        <v>48</v>
      </c>
      <c r="N1029" s="5" t="s">
        <v>48</v>
      </c>
      <c r="O1029" s="5">
        <f>830 *60</f>
        <v>49800</v>
      </c>
      <c r="P1029" s="5"/>
      <c r="Q1029" s="5"/>
      <c r="R1029" s="5">
        <v>1</v>
      </c>
      <c r="S1029" s="5">
        <v>1500</v>
      </c>
      <c r="T1029" s="5" t="s">
        <v>48</v>
      </c>
      <c r="U1029" s="5" t="s">
        <v>48</v>
      </c>
      <c r="V1029" s="15">
        <f>2*0.7457</f>
        <v>1.4914000000000001</v>
      </c>
      <c r="W1029" s="5" t="s">
        <v>48</v>
      </c>
      <c r="X1029" s="5" t="s">
        <v>61</v>
      </c>
      <c r="Y1029" s="5" t="s">
        <v>48</v>
      </c>
      <c r="Z1029" s="5" t="s">
        <v>48</v>
      </c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  <c r="BY1029" s="8"/>
      <c r="BZ1029" s="8"/>
      <c r="CA1029" s="8"/>
      <c r="CB1029" s="8"/>
      <c r="CC1029" s="8"/>
      <c r="CD1029" s="8"/>
      <c r="CE1029" s="8"/>
      <c r="CF1029" s="8"/>
      <c r="CG1029" s="8"/>
      <c r="CH1029" s="8"/>
      <c r="CI1029" s="8"/>
      <c r="CJ1029" s="8"/>
      <c r="CK1029" s="8"/>
      <c r="CL1029" s="8"/>
      <c r="CM1029" s="8"/>
      <c r="CN1029" s="8"/>
      <c r="CO1029" s="8"/>
      <c r="CP1029" s="8"/>
      <c r="CQ1029" s="8"/>
      <c r="CR1029" s="8"/>
      <c r="CS1029" s="8"/>
      <c r="CT1029" s="8"/>
      <c r="CU1029" s="8"/>
      <c r="CV1029" s="8"/>
      <c r="CW1029" s="8"/>
      <c r="CX1029" s="8"/>
      <c r="CY1029" s="8"/>
      <c r="CZ1029" s="8"/>
      <c r="DA1029" s="8"/>
      <c r="DB1029" s="8"/>
      <c r="DC1029" s="8"/>
      <c r="DD1029" s="8"/>
      <c r="DE1029" s="8"/>
      <c r="DF1029" s="8"/>
      <c r="DG1029" s="8"/>
      <c r="DH1029" s="8"/>
      <c r="DI1029" s="8"/>
      <c r="DJ1029" s="8"/>
      <c r="DK1029" s="8"/>
      <c r="DL1029" s="8"/>
      <c r="DM1029" s="8"/>
      <c r="DN1029" s="8"/>
      <c r="DO1029" s="8"/>
      <c r="DP1029" s="8"/>
      <c r="DQ1029" s="8"/>
      <c r="DR1029" s="8"/>
      <c r="DS1029" s="8"/>
      <c r="DT1029" s="8"/>
      <c r="DU1029" s="8"/>
      <c r="DV1029" s="8"/>
      <c r="DW1029" s="8"/>
      <c r="DX1029" s="8"/>
      <c r="DY1029" s="8"/>
      <c r="DZ1029" s="8"/>
      <c r="EA1029" s="8"/>
      <c r="EB1029" s="8"/>
      <c r="EC1029" s="8"/>
      <c r="ED1029" s="8"/>
      <c r="EE1029" s="8"/>
      <c r="EF1029" s="8"/>
      <c r="EG1029" s="8"/>
      <c r="EH1029" s="8"/>
      <c r="EI1029" s="8"/>
      <c r="EJ1029" s="8"/>
      <c r="EK1029" s="8"/>
      <c r="EL1029" s="8"/>
      <c r="EM1029" s="8"/>
      <c r="EN1029" s="8"/>
      <c r="EO1029" s="8"/>
      <c r="EP1029" s="8"/>
      <c r="EQ1029" s="8"/>
      <c r="ER1029" s="8"/>
      <c r="ES1029" s="8"/>
      <c r="ET1029" s="8"/>
      <c r="EU1029" s="8"/>
      <c r="EV1029" s="8"/>
      <c r="EW1029" s="8"/>
      <c r="EX1029" s="8"/>
      <c r="EY1029" s="8"/>
      <c r="EZ1029" s="8"/>
      <c r="FA1029" s="8"/>
      <c r="FB1029" s="8"/>
      <c r="FC1029" s="8"/>
      <c r="FD1029" s="8"/>
      <c r="FE1029" s="8"/>
      <c r="FF1029" s="8"/>
      <c r="FG1029" s="8"/>
      <c r="FH1029" s="8"/>
      <c r="FI1029" s="8"/>
      <c r="FJ1029" s="8"/>
      <c r="FK1029" s="8"/>
      <c r="FL1029" s="8"/>
      <c r="FM1029" s="8"/>
      <c r="FN1029" s="8"/>
      <c r="FO1029" s="8"/>
      <c r="FP1029" s="8"/>
      <c r="FQ1029" s="8"/>
      <c r="FR1029" s="8"/>
      <c r="FS1029" s="8"/>
      <c r="FT1029" s="8"/>
      <c r="FU1029" s="8"/>
      <c r="FV1029" s="8"/>
      <c r="FW1029" s="8"/>
      <c r="FX1029" s="8"/>
      <c r="FY1029" s="8"/>
      <c r="FZ1029" s="8"/>
      <c r="GA1029" s="8"/>
      <c r="GB1029" s="8"/>
      <c r="GC1029" s="8"/>
      <c r="GD1029" s="8"/>
      <c r="GE1029" s="8"/>
      <c r="GF1029" s="8"/>
      <c r="GG1029" s="8"/>
      <c r="GH1029" s="8"/>
      <c r="GI1029" s="8"/>
      <c r="GJ1029" s="8"/>
      <c r="GK1029" s="8"/>
      <c r="GL1029" s="8"/>
      <c r="GM1029" s="8"/>
      <c r="GN1029" s="8"/>
      <c r="GO1029" s="8"/>
      <c r="GP1029" s="8"/>
      <c r="GQ1029" s="8"/>
      <c r="GR1029" s="8"/>
      <c r="GS1029" s="8"/>
      <c r="GT1029" s="8"/>
      <c r="GU1029" s="8"/>
      <c r="GV1029" s="8"/>
      <c r="GW1029" s="8"/>
      <c r="GX1029" s="8"/>
      <c r="GY1029" s="8"/>
      <c r="GZ1029" s="8"/>
      <c r="HA1029" s="8"/>
      <c r="HB1029" s="8"/>
      <c r="HC1029" s="8"/>
      <c r="HD1029" s="8"/>
      <c r="HE1029" s="8"/>
      <c r="HF1029" s="8"/>
      <c r="HG1029" s="8"/>
      <c r="HH1029" s="8"/>
      <c r="HI1029" s="8"/>
      <c r="HJ1029" s="8"/>
      <c r="HK1029" s="8"/>
      <c r="HL1029" s="8"/>
      <c r="HM1029" s="8"/>
      <c r="HN1029" s="8"/>
      <c r="HO1029" s="8"/>
      <c r="HP1029" s="8"/>
      <c r="HQ1029" s="8"/>
      <c r="HR1029" s="8"/>
      <c r="HS1029" s="8"/>
      <c r="HT1029" s="8"/>
      <c r="HU1029" s="8"/>
      <c r="HV1029" s="8"/>
      <c r="HW1029" s="8"/>
      <c r="HX1029" s="8"/>
      <c r="HY1029" s="8"/>
      <c r="HZ1029" s="8"/>
      <c r="IA1029" s="8"/>
      <c r="IB1029" s="8"/>
      <c r="IC1029" s="8"/>
      <c r="ID1029" s="8"/>
      <c r="IE1029" s="8"/>
      <c r="IF1029" s="8"/>
    </row>
    <row r="1030" spans="1:240" ht="30" customHeight="1">
      <c r="A1030" s="5">
        <v>1028</v>
      </c>
      <c r="B1030" s="5"/>
      <c r="C1030" s="5"/>
      <c r="D1030" s="5" t="s">
        <v>68</v>
      </c>
      <c r="E1030" s="5">
        <v>3420</v>
      </c>
      <c r="F1030" s="5">
        <v>3420</v>
      </c>
      <c r="G1030" s="5">
        <v>2450</v>
      </c>
      <c r="H1030" s="5">
        <v>1800</v>
      </c>
      <c r="I1030" s="5" t="s">
        <v>13</v>
      </c>
      <c r="J1030" s="5">
        <f>1950/1000*60</f>
        <v>117</v>
      </c>
      <c r="K1030" s="17">
        <v>5</v>
      </c>
      <c r="L1030" s="5">
        <v>527.53</v>
      </c>
      <c r="M1030" s="5" t="s">
        <v>48</v>
      </c>
      <c r="N1030" s="5" t="s">
        <v>48</v>
      </c>
      <c r="O1030" s="5">
        <f>950*60</f>
        <v>57000</v>
      </c>
      <c r="P1030" s="5"/>
      <c r="Q1030" s="5"/>
      <c r="R1030" s="5">
        <v>1</v>
      </c>
      <c r="S1030" s="5">
        <v>1700</v>
      </c>
      <c r="T1030" s="5" t="s">
        <v>48</v>
      </c>
      <c r="U1030" s="5" t="s">
        <v>48</v>
      </c>
      <c r="V1030" s="15">
        <f>3 * 0.7457</f>
        <v>2.2370999999999999</v>
      </c>
      <c r="W1030" s="5" t="s">
        <v>48</v>
      </c>
      <c r="X1030" s="5" t="s">
        <v>61</v>
      </c>
      <c r="Y1030" s="5" t="s">
        <v>48</v>
      </c>
      <c r="Z1030" s="5" t="s">
        <v>48</v>
      </c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  <c r="BY1030" s="8"/>
      <c r="BZ1030" s="8"/>
      <c r="CA1030" s="8"/>
      <c r="CB1030" s="8"/>
      <c r="CC1030" s="8"/>
      <c r="CD1030" s="8"/>
      <c r="CE1030" s="8"/>
      <c r="CF1030" s="8"/>
      <c r="CG1030" s="8"/>
      <c r="CH1030" s="8"/>
      <c r="CI1030" s="8"/>
      <c r="CJ1030" s="8"/>
      <c r="CK1030" s="8"/>
      <c r="CL1030" s="8"/>
      <c r="CM1030" s="8"/>
      <c r="CN1030" s="8"/>
      <c r="CO1030" s="8"/>
      <c r="CP1030" s="8"/>
      <c r="CQ1030" s="8"/>
      <c r="CR1030" s="8"/>
      <c r="CS1030" s="8"/>
      <c r="CT1030" s="8"/>
      <c r="CU1030" s="8"/>
      <c r="CV1030" s="8"/>
      <c r="CW1030" s="8"/>
      <c r="CX1030" s="8"/>
      <c r="CY1030" s="8"/>
      <c r="CZ1030" s="8"/>
      <c r="DA1030" s="8"/>
      <c r="DB1030" s="8"/>
      <c r="DC1030" s="8"/>
      <c r="DD1030" s="8"/>
      <c r="DE1030" s="8"/>
      <c r="DF1030" s="8"/>
      <c r="DG1030" s="8"/>
      <c r="DH1030" s="8"/>
      <c r="DI1030" s="8"/>
      <c r="DJ1030" s="8"/>
      <c r="DK1030" s="8"/>
      <c r="DL1030" s="8"/>
      <c r="DM1030" s="8"/>
      <c r="DN1030" s="8"/>
      <c r="DO1030" s="8"/>
      <c r="DP1030" s="8"/>
      <c r="DQ1030" s="8"/>
      <c r="DR1030" s="8"/>
      <c r="DS1030" s="8"/>
      <c r="DT1030" s="8"/>
      <c r="DU1030" s="8"/>
      <c r="DV1030" s="8"/>
      <c r="DW1030" s="8"/>
      <c r="DX1030" s="8"/>
      <c r="DY1030" s="8"/>
      <c r="DZ1030" s="8"/>
      <c r="EA1030" s="8"/>
      <c r="EB1030" s="8"/>
      <c r="EC1030" s="8"/>
      <c r="ED1030" s="8"/>
      <c r="EE1030" s="8"/>
      <c r="EF1030" s="8"/>
      <c r="EG1030" s="8"/>
      <c r="EH1030" s="8"/>
      <c r="EI1030" s="8"/>
      <c r="EJ1030" s="8"/>
      <c r="EK1030" s="8"/>
      <c r="EL1030" s="8"/>
      <c r="EM1030" s="8"/>
      <c r="EN1030" s="8"/>
      <c r="EO1030" s="8"/>
      <c r="EP1030" s="8"/>
      <c r="EQ1030" s="8"/>
      <c r="ER1030" s="8"/>
      <c r="ES1030" s="8"/>
      <c r="ET1030" s="8"/>
      <c r="EU1030" s="8"/>
      <c r="EV1030" s="8"/>
      <c r="EW1030" s="8"/>
      <c r="EX1030" s="8"/>
      <c r="EY1030" s="8"/>
      <c r="EZ1030" s="8"/>
      <c r="FA1030" s="8"/>
      <c r="FB1030" s="8"/>
      <c r="FC1030" s="8"/>
      <c r="FD1030" s="8"/>
      <c r="FE1030" s="8"/>
      <c r="FF1030" s="8"/>
      <c r="FG1030" s="8"/>
      <c r="FH1030" s="8"/>
      <c r="FI1030" s="8"/>
      <c r="FJ1030" s="8"/>
      <c r="FK1030" s="8"/>
      <c r="FL1030" s="8"/>
      <c r="FM1030" s="8"/>
      <c r="FN1030" s="8"/>
      <c r="FO1030" s="8"/>
      <c r="FP1030" s="8"/>
      <c r="FQ1030" s="8"/>
      <c r="FR1030" s="8"/>
      <c r="FS1030" s="8"/>
      <c r="FT1030" s="8"/>
      <c r="FU1030" s="8"/>
      <c r="FV1030" s="8"/>
      <c r="FW1030" s="8"/>
      <c r="FX1030" s="8"/>
      <c r="FY1030" s="8"/>
      <c r="FZ1030" s="8"/>
      <c r="GA1030" s="8"/>
      <c r="GB1030" s="8"/>
      <c r="GC1030" s="8"/>
      <c r="GD1030" s="8"/>
      <c r="GE1030" s="8"/>
      <c r="GF1030" s="8"/>
      <c r="GG1030" s="8"/>
      <c r="GH1030" s="8"/>
      <c r="GI1030" s="8"/>
      <c r="GJ1030" s="8"/>
      <c r="GK1030" s="8"/>
      <c r="GL1030" s="8"/>
      <c r="GM1030" s="8"/>
      <c r="GN1030" s="8"/>
      <c r="GO1030" s="8"/>
      <c r="GP1030" s="8"/>
      <c r="GQ1030" s="8"/>
      <c r="GR1030" s="8"/>
      <c r="GS1030" s="8"/>
      <c r="GT1030" s="8"/>
      <c r="GU1030" s="8"/>
      <c r="GV1030" s="8"/>
      <c r="GW1030" s="8"/>
      <c r="GX1030" s="8"/>
      <c r="GY1030" s="8"/>
      <c r="GZ1030" s="8"/>
      <c r="HA1030" s="8"/>
      <c r="HB1030" s="8"/>
      <c r="HC1030" s="8"/>
      <c r="HD1030" s="8"/>
      <c r="HE1030" s="8"/>
      <c r="HF1030" s="8"/>
      <c r="HG1030" s="8"/>
      <c r="HH1030" s="8"/>
      <c r="HI1030" s="8"/>
      <c r="HJ1030" s="8"/>
      <c r="HK1030" s="8"/>
      <c r="HL1030" s="8"/>
      <c r="HM1030" s="8"/>
      <c r="HN1030" s="8"/>
      <c r="HO1030" s="8"/>
      <c r="HP1030" s="8"/>
      <c r="HQ1030" s="8"/>
      <c r="HR1030" s="8"/>
      <c r="HS1030" s="8"/>
      <c r="HT1030" s="8"/>
      <c r="HU1030" s="8"/>
      <c r="HV1030" s="8"/>
      <c r="HW1030" s="8"/>
      <c r="HX1030" s="8"/>
      <c r="HY1030" s="8"/>
      <c r="HZ1030" s="8"/>
      <c r="IA1030" s="8"/>
      <c r="IB1030" s="8"/>
      <c r="IC1030" s="8"/>
      <c r="ID1030" s="8"/>
      <c r="IE1030" s="8"/>
      <c r="IF1030" s="8"/>
    </row>
    <row r="1031" spans="1:240" ht="30" customHeight="1">
      <c r="A1031" s="5">
        <v>1029</v>
      </c>
      <c r="B1031" s="5"/>
      <c r="C1031" s="5"/>
      <c r="D1031" s="5" t="s">
        <v>68</v>
      </c>
      <c r="E1031" s="5">
        <v>3420</v>
      </c>
      <c r="F1031" s="5">
        <v>3420</v>
      </c>
      <c r="G1031" s="5">
        <v>2450</v>
      </c>
      <c r="H1031" s="5">
        <v>2300</v>
      </c>
      <c r="I1031" s="5" t="s">
        <v>13</v>
      </c>
      <c r="J1031" s="5">
        <f>2275/1000*60</f>
        <v>136.5</v>
      </c>
      <c r="K1031" s="17">
        <v>5</v>
      </c>
      <c r="L1031" s="5">
        <v>615.45000000000005</v>
      </c>
      <c r="M1031" s="5" t="s">
        <v>48</v>
      </c>
      <c r="N1031" s="5" t="s">
        <v>48</v>
      </c>
      <c r="O1031" s="5">
        <f>1150*60</f>
        <v>69000</v>
      </c>
      <c r="P1031" s="5"/>
      <c r="Q1031" s="5"/>
      <c r="R1031" s="5">
        <v>1</v>
      </c>
      <c r="S1031" s="5">
        <v>1700</v>
      </c>
      <c r="T1031" s="5" t="s">
        <v>48</v>
      </c>
      <c r="U1031" s="5" t="s">
        <v>48</v>
      </c>
      <c r="V1031" s="15">
        <f>5* 0.7457</f>
        <v>3.7285000000000004</v>
      </c>
      <c r="W1031" s="5" t="s">
        <v>48</v>
      </c>
      <c r="X1031" s="5" t="s">
        <v>65</v>
      </c>
      <c r="Y1031" s="5" t="s">
        <v>48</v>
      </c>
      <c r="Z1031" s="5" t="s">
        <v>48</v>
      </c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  <c r="BY1031" s="8"/>
      <c r="BZ1031" s="8"/>
      <c r="CA1031" s="8"/>
      <c r="CB1031" s="8"/>
      <c r="CC1031" s="8"/>
      <c r="CD1031" s="8"/>
      <c r="CE1031" s="8"/>
      <c r="CF1031" s="8"/>
      <c r="CG1031" s="8"/>
      <c r="CH1031" s="8"/>
      <c r="CI1031" s="8"/>
      <c r="CJ1031" s="8"/>
      <c r="CK1031" s="8"/>
      <c r="CL1031" s="8"/>
      <c r="CM1031" s="8"/>
      <c r="CN1031" s="8"/>
      <c r="CO1031" s="8"/>
      <c r="CP1031" s="8"/>
      <c r="CQ1031" s="8"/>
      <c r="CR1031" s="8"/>
      <c r="CS1031" s="8"/>
      <c r="CT1031" s="8"/>
      <c r="CU1031" s="8"/>
      <c r="CV1031" s="8"/>
      <c r="CW1031" s="8"/>
      <c r="CX1031" s="8"/>
      <c r="CY1031" s="8"/>
      <c r="CZ1031" s="8"/>
      <c r="DA1031" s="8"/>
      <c r="DB1031" s="8"/>
      <c r="DC1031" s="8"/>
      <c r="DD1031" s="8"/>
      <c r="DE1031" s="8"/>
      <c r="DF1031" s="8"/>
      <c r="DG1031" s="8"/>
      <c r="DH1031" s="8"/>
      <c r="DI1031" s="8"/>
      <c r="DJ1031" s="8"/>
      <c r="DK1031" s="8"/>
      <c r="DL1031" s="8"/>
      <c r="DM1031" s="8"/>
      <c r="DN1031" s="8"/>
      <c r="DO1031" s="8"/>
      <c r="DP1031" s="8"/>
      <c r="DQ1031" s="8"/>
      <c r="DR1031" s="8"/>
      <c r="DS1031" s="8"/>
      <c r="DT1031" s="8"/>
      <c r="DU1031" s="8"/>
      <c r="DV1031" s="8"/>
      <c r="DW1031" s="8"/>
      <c r="DX1031" s="8"/>
      <c r="DY1031" s="8"/>
      <c r="DZ1031" s="8"/>
      <c r="EA1031" s="8"/>
      <c r="EB1031" s="8"/>
      <c r="EC1031" s="8"/>
      <c r="ED1031" s="8"/>
      <c r="EE1031" s="8"/>
      <c r="EF1031" s="8"/>
      <c r="EG1031" s="8"/>
      <c r="EH1031" s="8"/>
      <c r="EI1031" s="8"/>
      <c r="EJ1031" s="8"/>
      <c r="EK1031" s="8"/>
      <c r="EL1031" s="8"/>
      <c r="EM1031" s="8"/>
      <c r="EN1031" s="8"/>
      <c r="EO1031" s="8"/>
      <c r="EP1031" s="8"/>
      <c r="EQ1031" s="8"/>
      <c r="ER1031" s="8"/>
      <c r="ES1031" s="8"/>
      <c r="ET1031" s="8"/>
      <c r="EU1031" s="8"/>
      <c r="EV1031" s="8"/>
      <c r="EW1031" s="8"/>
      <c r="EX1031" s="8"/>
      <c r="EY1031" s="8"/>
      <c r="EZ1031" s="8"/>
      <c r="FA1031" s="8"/>
      <c r="FB1031" s="8"/>
      <c r="FC1031" s="8"/>
      <c r="FD1031" s="8"/>
      <c r="FE1031" s="8"/>
      <c r="FF1031" s="8"/>
      <c r="FG1031" s="8"/>
      <c r="FH1031" s="8"/>
      <c r="FI1031" s="8"/>
      <c r="FJ1031" s="8"/>
      <c r="FK1031" s="8"/>
      <c r="FL1031" s="8"/>
      <c r="FM1031" s="8"/>
      <c r="FN1031" s="8"/>
      <c r="FO1031" s="8"/>
      <c r="FP1031" s="8"/>
      <c r="FQ1031" s="8"/>
      <c r="FR1031" s="8"/>
      <c r="FS1031" s="8"/>
      <c r="FT1031" s="8"/>
      <c r="FU1031" s="8"/>
      <c r="FV1031" s="8"/>
      <c r="FW1031" s="8"/>
      <c r="FX1031" s="8"/>
      <c r="FY1031" s="8"/>
      <c r="FZ1031" s="8"/>
      <c r="GA1031" s="8"/>
      <c r="GB1031" s="8"/>
      <c r="GC1031" s="8"/>
      <c r="GD1031" s="8"/>
      <c r="GE1031" s="8"/>
      <c r="GF1031" s="8"/>
      <c r="GG1031" s="8"/>
      <c r="GH1031" s="8"/>
      <c r="GI1031" s="8"/>
      <c r="GJ1031" s="8"/>
      <c r="GK1031" s="8"/>
      <c r="GL1031" s="8"/>
      <c r="GM1031" s="8"/>
      <c r="GN1031" s="8"/>
      <c r="GO1031" s="8"/>
      <c r="GP1031" s="8"/>
      <c r="GQ1031" s="8"/>
      <c r="GR1031" s="8"/>
      <c r="GS1031" s="8"/>
      <c r="GT1031" s="8"/>
      <c r="GU1031" s="8"/>
      <c r="GV1031" s="8"/>
      <c r="GW1031" s="8"/>
      <c r="GX1031" s="8"/>
      <c r="GY1031" s="8"/>
      <c r="GZ1031" s="8"/>
      <c r="HA1031" s="8"/>
      <c r="HB1031" s="8"/>
      <c r="HC1031" s="8"/>
      <c r="HD1031" s="8"/>
      <c r="HE1031" s="8"/>
      <c r="HF1031" s="8"/>
      <c r="HG1031" s="8"/>
      <c r="HH1031" s="8"/>
      <c r="HI1031" s="8"/>
      <c r="HJ1031" s="8"/>
      <c r="HK1031" s="8"/>
      <c r="HL1031" s="8"/>
      <c r="HM1031" s="8"/>
      <c r="HN1031" s="8"/>
      <c r="HO1031" s="8"/>
      <c r="HP1031" s="8"/>
      <c r="HQ1031" s="8"/>
      <c r="HR1031" s="8"/>
      <c r="HS1031" s="8"/>
      <c r="HT1031" s="8"/>
      <c r="HU1031" s="8"/>
      <c r="HV1031" s="8"/>
      <c r="HW1031" s="8"/>
      <c r="HX1031" s="8"/>
      <c r="HY1031" s="8"/>
      <c r="HZ1031" s="8"/>
      <c r="IA1031" s="8"/>
      <c r="IB1031" s="8"/>
      <c r="IC1031" s="8"/>
      <c r="ID1031" s="8"/>
      <c r="IE1031" s="8"/>
      <c r="IF1031" s="8"/>
    </row>
    <row r="1032" spans="1:240" ht="30" customHeight="1">
      <c r="A1032" s="5">
        <v>1030</v>
      </c>
      <c r="B1032" s="5"/>
      <c r="C1032" s="5"/>
      <c r="D1032" s="5" t="s">
        <v>68</v>
      </c>
      <c r="E1032" s="5">
        <v>3940</v>
      </c>
      <c r="F1032" s="5">
        <v>3940</v>
      </c>
      <c r="G1032" s="5">
        <v>2900</v>
      </c>
      <c r="H1032" s="5">
        <v>2900</v>
      </c>
      <c r="I1032" s="5" t="s">
        <v>13</v>
      </c>
      <c r="J1032" s="5">
        <f>2600/1000*60</f>
        <v>156</v>
      </c>
      <c r="K1032" s="17">
        <v>5</v>
      </c>
      <c r="L1032" s="5">
        <v>703.37</v>
      </c>
      <c r="M1032" s="5" t="s">
        <v>48</v>
      </c>
      <c r="N1032" s="5" t="s">
        <v>48</v>
      </c>
      <c r="O1032" s="5">
        <f>1250*60</f>
        <v>75000</v>
      </c>
      <c r="P1032" s="5"/>
      <c r="Q1032" s="5"/>
      <c r="R1032" s="5">
        <v>1</v>
      </c>
      <c r="S1032" s="5">
        <v>2100</v>
      </c>
      <c r="T1032" s="5" t="s">
        <v>48</v>
      </c>
      <c r="U1032" s="5" t="s">
        <v>48</v>
      </c>
      <c r="V1032" s="15">
        <f>5* 0.7457</f>
        <v>3.7285000000000004</v>
      </c>
      <c r="W1032" s="5" t="s">
        <v>48</v>
      </c>
      <c r="X1032" s="5" t="s">
        <v>63</v>
      </c>
      <c r="Y1032" s="5" t="s">
        <v>48</v>
      </c>
      <c r="Z1032" s="5" t="s">
        <v>48</v>
      </c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  <c r="BY1032" s="8"/>
      <c r="BZ1032" s="8"/>
      <c r="CA1032" s="8"/>
      <c r="CB1032" s="8"/>
      <c r="CC1032" s="8"/>
      <c r="CD1032" s="8"/>
      <c r="CE1032" s="8"/>
      <c r="CF1032" s="8"/>
      <c r="CG1032" s="8"/>
      <c r="CH1032" s="8"/>
      <c r="CI1032" s="8"/>
      <c r="CJ1032" s="8"/>
      <c r="CK1032" s="8"/>
      <c r="CL1032" s="8"/>
      <c r="CM1032" s="8"/>
      <c r="CN1032" s="8"/>
      <c r="CO1032" s="8"/>
      <c r="CP1032" s="8"/>
      <c r="CQ1032" s="8"/>
      <c r="CR1032" s="8"/>
      <c r="CS1032" s="8"/>
      <c r="CT1032" s="8"/>
      <c r="CU1032" s="8"/>
      <c r="CV1032" s="8"/>
      <c r="CW1032" s="8"/>
      <c r="CX1032" s="8"/>
      <c r="CY1032" s="8"/>
      <c r="CZ1032" s="8"/>
      <c r="DA1032" s="8"/>
      <c r="DB1032" s="8"/>
      <c r="DC1032" s="8"/>
      <c r="DD1032" s="8"/>
      <c r="DE1032" s="8"/>
      <c r="DF1032" s="8"/>
      <c r="DG1032" s="8"/>
      <c r="DH1032" s="8"/>
      <c r="DI1032" s="8"/>
      <c r="DJ1032" s="8"/>
      <c r="DK1032" s="8"/>
      <c r="DL1032" s="8"/>
      <c r="DM1032" s="8"/>
      <c r="DN1032" s="8"/>
      <c r="DO1032" s="8"/>
      <c r="DP1032" s="8"/>
      <c r="DQ1032" s="8"/>
      <c r="DR1032" s="8"/>
      <c r="DS1032" s="8"/>
      <c r="DT1032" s="8"/>
      <c r="DU1032" s="8"/>
      <c r="DV1032" s="8"/>
      <c r="DW1032" s="8"/>
      <c r="DX1032" s="8"/>
      <c r="DY1032" s="8"/>
      <c r="DZ1032" s="8"/>
      <c r="EA1032" s="8"/>
      <c r="EB1032" s="8"/>
      <c r="EC1032" s="8"/>
      <c r="ED1032" s="8"/>
      <c r="EE1032" s="8"/>
      <c r="EF1032" s="8"/>
      <c r="EG1032" s="8"/>
      <c r="EH1032" s="8"/>
      <c r="EI1032" s="8"/>
      <c r="EJ1032" s="8"/>
      <c r="EK1032" s="8"/>
      <c r="EL1032" s="8"/>
      <c r="EM1032" s="8"/>
      <c r="EN1032" s="8"/>
      <c r="EO1032" s="8"/>
      <c r="EP1032" s="8"/>
      <c r="EQ1032" s="8"/>
      <c r="ER1032" s="8"/>
      <c r="ES1032" s="8"/>
      <c r="ET1032" s="8"/>
      <c r="EU1032" s="8"/>
      <c r="EV1032" s="8"/>
      <c r="EW1032" s="8"/>
      <c r="EX1032" s="8"/>
      <c r="EY1032" s="8"/>
      <c r="EZ1032" s="8"/>
      <c r="FA1032" s="8"/>
      <c r="FB1032" s="8"/>
      <c r="FC1032" s="8"/>
      <c r="FD1032" s="8"/>
      <c r="FE1032" s="8"/>
      <c r="FF1032" s="8"/>
      <c r="FG1032" s="8"/>
      <c r="FH1032" s="8"/>
      <c r="FI1032" s="8"/>
      <c r="FJ1032" s="8"/>
      <c r="FK1032" s="8"/>
      <c r="FL1032" s="8"/>
      <c r="FM1032" s="8"/>
      <c r="FN1032" s="8"/>
      <c r="FO1032" s="8"/>
      <c r="FP1032" s="8"/>
      <c r="FQ1032" s="8"/>
      <c r="FR1032" s="8"/>
      <c r="FS1032" s="8"/>
      <c r="FT1032" s="8"/>
      <c r="FU1032" s="8"/>
      <c r="FV1032" s="8"/>
      <c r="FW1032" s="8"/>
      <c r="FX1032" s="8"/>
      <c r="FY1032" s="8"/>
      <c r="FZ1032" s="8"/>
      <c r="GA1032" s="8"/>
      <c r="GB1032" s="8"/>
      <c r="GC1032" s="8"/>
      <c r="GD1032" s="8"/>
      <c r="GE1032" s="8"/>
      <c r="GF1032" s="8"/>
      <c r="GG1032" s="8"/>
      <c r="GH1032" s="8"/>
      <c r="GI1032" s="8"/>
      <c r="GJ1032" s="8"/>
      <c r="GK1032" s="8"/>
      <c r="GL1032" s="8"/>
      <c r="GM1032" s="8"/>
      <c r="GN1032" s="8"/>
      <c r="GO1032" s="8"/>
      <c r="GP1032" s="8"/>
      <c r="GQ1032" s="8"/>
      <c r="GR1032" s="8"/>
      <c r="GS1032" s="8"/>
      <c r="GT1032" s="8"/>
      <c r="GU1032" s="8"/>
      <c r="GV1032" s="8"/>
      <c r="GW1032" s="8"/>
      <c r="GX1032" s="8"/>
      <c r="GY1032" s="8"/>
      <c r="GZ1032" s="8"/>
      <c r="HA1032" s="8"/>
      <c r="HB1032" s="8"/>
      <c r="HC1032" s="8"/>
      <c r="HD1032" s="8"/>
      <c r="HE1032" s="8"/>
      <c r="HF1032" s="8"/>
      <c r="HG1032" s="8"/>
      <c r="HH1032" s="8"/>
      <c r="HI1032" s="8"/>
      <c r="HJ1032" s="8"/>
      <c r="HK1032" s="8"/>
      <c r="HL1032" s="8"/>
      <c r="HM1032" s="8"/>
      <c r="HN1032" s="8"/>
      <c r="HO1032" s="8"/>
      <c r="HP1032" s="8"/>
      <c r="HQ1032" s="8"/>
      <c r="HR1032" s="8"/>
      <c r="HS1032" s="8"/>
      <c r="HT1032" s="8"/>
      <c r="HU1032" s="8"/>
      <c r="HV1032" s="8"/>
      <c r="HW1032" s="8"/>
      <c r="HX1032" s="8"/>
      <c r="HY1032" s="8"/>
      <c r="HZ1032" s="8"/>
      <c r="IA1032" s="8"/>
      <c r="IB1032" s="8"/>
      <c r="IC1032" s="8"/>
      <c r="ID1032" s="8"/>
      <c r="IE1032" s="8"/>
      <c r="IF1032" s="8"/>
    </row>
    <row r="1033" spans="1:240" ht="30" customHeight="1">
      <c r="A1033" s="5">
        <v>1031</v>
      </c>
      <c r="B1033" s="5"/>
      <c r="C1033" s="5"/>
      <c r="D1033" s="5" t="s">
        <v>68</v>
      </c>
      <c r="E1033" s="5">
        <v>3940</v>
      </c>
      <c r="F1033" s="5">
        <v>3940</v>
      </c>
      <c r="G1033" s="5">
        <v>2900</v>
      </c>
      <c r="H1033" s="5">
        <v>3200</v>
      </c>
      <c r="I1033" s="5" t="s">
        <v>13</v>
      </c>
      <c r="J1033" s="5">
        <f>2925/1000*60</f>
        <v>175.5</v>
      </c>
      <c r="K1033" s="17">
        <v>5</v>
      </c>
      <c r="L1033" s="5">
        <v>791.29</v>
      </c>
      <c r="M1033" s="5" t="s">
        <v>48</v>
      </c>
      <c r="N1033" s="5" t="s">
        <v>48</v>
      </c>
      <c r="O1033" s="5">
        <f>1750*60</f>
        <v>105000</v>
      </c>
      <c r="P1033" s="5"/>
      <c r="Q1033" s="5"/>
      <c r="R1033" s="5">
        <v>1</v>
      </c>
      <c r="S1033" s="5">
        <v>2100</v>
      </c>
      <c r="T1033" s="5" t="s">
        <v>48</v>
      </c>
      <c r="U1033" s="5" t="s">
        <v>48</v>
      </c>
      <c r="V1033" s="15">
        <f>7.5* 0.7457</f>
        <v>5.5927500000000006</v>
      </c>
      <c r="W1033" s="5" t="s">
        <v>48</v>
      </c>
      <c r="X1033" s="5" t="s">
        <v>61</v>
      </c>
      <c r="Y1033" s="5" t="s">
        <v>48</v>
      </c>
      <c r="Z1033" s="5" t="s">
        <v>48</v>
      </c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  <c r="BY1033" s="8"/>
      <c r="BZ1033" s="8"/>
      <c r="CA1033" s="8"/>
      <c r="CB1033" s="8"/>
      <c r="CC1033" s="8"/>
      <c r="CD1033" s="8"/>
      <c r="CE1033" s="8"/>
      <c r="CF1033" s="8"/>
      <c r="CG1033" s="8"/>
      <c r="CH1033" s="8"/>
      <c r="CI1033" s="8"/>
      <c r="CJ1033" s="8"/>
      <c r="CK1033" s="8"/>
      <c r="CL1033" s="8"/>
      <c r="CM1033" s="8"/>
      <c r="CN1033" s="8"/>
      <c r="CO1033" s="8"/>
      <c r="CP1033" s="8"/>
      <c r="CQ1033" s="8"/>
      <c r="CR1033" s="8"/>
      <c r="CS1033" s="8"/>
      <c r="CT1033" s="8"/>
      <c r="CU1033" s="8"/>
      <c r="CV1033" s="8"/>
      <c r="CW1033" s="8"/>
      <c r="CX1033" s="8"/>
      <c r="CY1033" s="8"/>
      <c r="CZ1033" s="8"/>
      <c r="DA1033" s="8"/>
      <c r="DB1033" s="8"/>
      <c r="DC1033" s="8"/>
      <c r="DD1033" s="8"/>
      <c r="DE1033" s="8"/>
      <c r="DF1033" s="8"/>
      <c r="DG1033" s="8"/>
      <c r="DH1033" s="8"/>
      <c r="DI1033" s="8"/>
      <c r="DJ1033" s="8"/>
      <c r="DK1033" s="8"/>
      <c r="DL1033" s="8"/>
      <c r="DM1033" s="8"/>
      <c r="DN1033" s="8"/>
      <c r="DO1033" s="8"/>
      <c r="DP1033" s="8"/>
      <c r="DQ1033" s="8"/>
      <c r="DR1033" s="8"/>
      <c r="DS1033" s="8"/>
      <c r="DT1033" s="8"/>
      <c r="DU1033" s="8"/>
      <c r="DV1033" s="8"/>
      <c r="DW1033" s="8"/>
      <c r="DX1033" s="8"/>
      <c r="DY1033" s="8"/>
      <c r="DZ1033" s="8"/>
      <c r="EA1033" s="8"/>
      <c r="EB1033" s="8"/>
      <c r="EC1033" s="8"/>
      <c r="ED1033" s="8"/>
      <c r="EE1033" s="8"/>
      <c r="EF1033" s="8"/>
      <c r="EG1033" s="8"/>
      <c r="EH1033" s="8"/>
      <c r="EI1033" s="8"/>
      <c r="EJ1033" s="8"/>
      <c r="EK1033" s="8"/>
      <c r="EL1033" s="8"/>
      <c r="EM1033" s="8"/>
      <c r="EN1033" s="8"/>
      <c r="EO1033" s="8"/>
      <c r="EP1033" s="8"/>
      <c r="EQ1033" s="8"/>
      <c r="ER1033" s="8"/>
      <c r="ES1033" s="8"/>
      <c r="ET1033" s="8"/>
      <c r="EU1033" s="8"/>
      <c r="EV1033" s="8"/>
      <c r="EW1033" s="8"/>
      <c r="EX1033" s="8"/>
      <c r="EY1033" s="8"/>
      <c r="EZ1033" s="8"/>
      <c r="FA1033" s="8"/>
      <c r="FB1033" s="8"/>
      <c r="FC1033" s="8"/>
      <c r="FD1033" s="8"/>
      <c r="FE1033" s="8"/>
      <c r="FF1033" s="8"/>
      <c r="FG1033" s="8"/>
      <c r="FH1033" s="8"/>
      <c r="FI1033" s="8"/>
      <c r="FJ1033" s="8"/>
      <c r="FK1033" s="8"/>
      <c r="FL1033" s="8"/>
      <c r="FM1033" s="8"/>
      <c r="FN1033" s="8"/>
      <c r="FO1033" s="8"/>
      <c r="FP1033" s="8"/>
      <c r="FQ1033" s="8"/>
      <c r="FR1033" s="8"/>
      <c r="FS1033" s="8"/>
      <c r="FT1033" s="8"/>
      <c r="FU1033" s="8"/>
      <c r="FV1033" s="8"/>
      <c r="FW1033" s="8"/>
      <c r="FX1033" s="8"/>
      <c r="FY1033" s="8"/>
      <c r="FZ1033" s="8"/>
      <c r="GA1033" s="8"/>
      <c r="GB1033" s="8"/>
      <c r="GC1033" s="8"/>
      <c r="GD1033" s="8"/>
      <c r="GE1033" s="8"/>
      <c r="GF1033" s="8"/>
      <c r="GG1033" s="8"/>
      <c r="GH1033" s="8"/>
      <c r="GI1033" s="8"/>
      <c r="GJ1033" s="8"/>
      <c r="GK1033" s="8"/>
      <c r="GL1033" s="8"/>
      <c r="GM1033" s="8"/>
      <c r="GN1033" s="8"/>
      <c r="GO1033" s="8"/>
      <c r="GP1033" s="8"/>
      <c r="GQ1033" s="8"/>
      <c r="GR1033" s="8"/>
      <c r="GS1033" s="8"/>
      <c r="GT1033" s="8"/>
      <c r="GU1033" s="8"/>
      <c r="GV1033" s="8"/>
      <c r="GW1033" s="8"/>
      <c r="GX1033" s="8"/>
      <c r="GY1033" s="8"/>
      <c r="GZ1033" s="8"/>
      <c r="HA1033" s="8"/>
      <c r="HB1033" s="8"/>
      <c r="HC1033" s="8"/>
      <c r="HD1033" s="8"/>
      <c r="HE1033" s="8"/>
      <c r="HF1033" s="8"/>
      <c r="HG1033" s="8"/>
      <c r="HH1033" s="8"/>
      <c r="HI1033" s="8"/>
      <c r="HJ1033" s="8"/>
      <c r="HK1033" s="8"/>
      <c r="HL1033" s="8"/>
      <c r="HM1033" s="8"/>
      <c r="HN1033" s="8"/>
      <c r="HO1033" s="8"/>
      <c r="HP1033" s="8"/>
      <c r="HQ1033" s="8"/>
      <c r="HR1033" s="8"/>
      <c r="HS1033" s="8"/>
      <c r="HT1033" s="8"/>
      <c r="HU1033" s="8"/>
      <c r="HV1033" s="8"/>
      <c r="HW1033" s="8"/>
      <c r="HX1033" s="8"/>
      <c r="HY1033" s="8"/>
      <c r="HZ1033" s="8"/>
      <c r="IA1033" s="8"/>
      <c r="IB1033" s="8"/>
      <c r="IC1033" s="8"/>
      <c r="ID1033" s="8"/>
      <c r="IE1033" s="8"/>
      <c r="IF1033" s="8"/>
    </row>
    <row r="1034" spans="1:240" ht="30" customHeight="1">
      <c r="A1034" s="5">
        <v>1032</v>
      </c>
      <c r="B1034" s="5"/>
      <c r="C1034" s="5"/>
      <c r="D1034" s="5" t="s">
        <v>68</v>
      </c>
      <c r="E1034" s="5">
        <v>3940</v>
      </c>
      <c r="F1034" s="5">
        <v>3940</v>
      </c>
      <c r="G1034" s="5">
        <v>2900</v>
      </c>
      <c r="H1034" s="5">
        <v>3500</v>
      </c>
      <c r="I1034" s="5" t="s">
        <v>13</v>
      </c>
      <c r="J1034" s="5">
        <f>3250/1000*60</f>
        <v>195</v>
      </c>
      <c r="K1034" s="17">
        <v>5</v>
      </c>
      <c r="L1034" s="5">
        <v>879.21</v>
      </c>
      <c r="M1034" s="5" t="s">
        <v>48</v>
      </c>
      <c r="N1034" s="5" t="s">
        <v>48</v>
      </c>
      <c r="O1034" s="5">
        <f>1850*60</f>
        <v>111000</v>
      </c>
      <c r="P1034" s="5"/>
      <c r="Q1034" s="5"/>
      <c r="R1034" s="5">
        <v>1</v>
      </c>
      <c r="S1034" s="5">
        <v>2100</v>
      </c>
      <c r="T1034" s="5" t="s">
        <v>48</v>
      </c>
      <c r="U1034" s="5" t="s">
        <v>48</v>
      </c>
      <c r="V1034" s="15">
        <f>7.5* 0.7457</f>
        <v>5.5927500000000006</v>
      </c>
      <c r="W1034" s="5" t="s">
        <v>48</v>
      </c>
      <c r="X1034" s="5" t="s">
        <v>61</v>
      </c>
      <c r="Y1034" s="5" t="s">
        <v>48</v>
      </c>
      <c r="Z1034" s="5" t="s">
        <v>48</v>
      </c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  <c r="BY1034" s="8"/>
      <c r="BZ1034" s="8"/>
      <c r="CA1034" s="8"/>
      <c r="CB1034" s="8"/>
      <c r="CC1034" s="8"/>
      <c r="CD1034" s="8"/>
      <c r="CE1034" s="8"/>
      <c r="CF1034" s="8"/>
      <c r="CG1034" s="8"/>
      <c r="CH1034" s="8"/>
      <c r="CI1034" s="8"/>
      <c r="CJ1034" s="8"/>
      <c r="CK1034" s="8"/>
      <c r="CL1034" s="8"/>
      <c r="CM1034" s="8"/>
      <c r="CN1034" s="8"/>
      <c r="CO1034" s="8"/>
      <c r="CP1034" s="8"/>
      <c r="CQ1034" s="8"/>
      <c r="CR1034" s="8"/>
      <c r="CS1034" s="8"/>
      <c r="CT1034" s="8"/>
      <c r="CU1034" s="8"/>
      <c r="CV1034" s="8"/>
      <c r="CW1034" s="8"/>
      <c r="CX1034" s="8"/>
      <c r="CY1034" s="8"/>
      <c r="CZ1034" s="8"/>
      <c r="DA1034" s="8"/>
      <c r="DB1034" s="8"/>
      <c r="DC1034" s="8"/>
      <c r="DD1034" s="8"/>
      <c r="DE1034" s="8"/>
      <c r="DF1034" s="8"/>
      <c r="DG1034" s="8"/>
      <c r="DH1034" s="8"/>
      <c r="DI1034" s="8"/>
      <c r="DJ1034" s="8"/>
      <c r="DK1034" s="8"/>
      <c r="DL1034" s="8"/>
      <c r="DM1034" s="8"/>
      <c r="DN1034" s="8"/>
      <c r="DO1034" s="8"/>
      <c r="DP1034" s="8"/>
      <c r="DQ1034" s="8"/>
      <c r="DR1034" s="8"/>
      <c r="DS1034" s="8"/>
      <c r="DT1034" s="8"/>
      <c r="DU1034" s="8"/>
      <c r="DV1034" s="8"/>
      <c r="DW1034" s="8"/>
      <c r="DX1034" s="8"/>
      <c r="DY1034" s="8"/>
      <c r="DZ1034" s="8"/>
      <c r="EA1034" s="8"/>
      <c r="EB1034" s="8"/>
      <c r="EC1034" s="8"/>
      <c r="ED1034" s="8"/>
      <c r="EE1034" s="8"/>
      <c r="EF1034" s="8"/>
      <c r="EG1034" s="8"/>
      <c r="EH1034" s="8"/>
      <c r="EI1034" s="8"/>
      <c r="EJ1034" s="8"/>
      <c r="EK1034" s="8"/>
      <c r="EL1034" s="8"/>
      <c r="EM1034" s="8"/>
      <c r="EN1034" s="8"/>
      <c r="EO1034" s="8"/>
      <c r="EP1034" s="8"/>
      <c r="EQ1034" s="8"/>
      <c r="ER1034" s="8"/>
      <c r="ES1034" s="8"/>
      <c r="ET1034" s="8"/>
      <c r="EU1034" s="8"/>
      <c r="EV1034" s="8"/>
      <c r="EW1034" s="8"/>
      <c r="EX1034" s="8"/>
      <c r="EY1034" s="8"/>
      <c r="EZ1034" s="8"/>
      <c r="FA1034" s="8"/>
      <c r="FB1034" s="8"/>
      <c r="FC1034" s="8"/>
      <c r="FD1034" s="8"/>
      <c r="FE1034" s="8"/>
      <c r="FF1034" s="8"/>
      <c r="FG1034" s="8"/>
      <c r="FH1034" s="8"/>
      <c r="FI1034" s="8"/>
      <c r="FJ1034" s="8"/>
      <c r="FK1034" s="8"/>
      <c r="FL1034" s="8"/>
      <c r="FM1034" s="8"/>
      <c r="FN1034" s="8"/>
      <c r="FO1034" s="8"/>
      <c r="FP1034" s="8"/>
      <c r="FQ1034" s="8"/>
      <c r="FR1034" s="8"/>
      <c r="FS1034" s="8"/>
      <c r="FT1034" s="8"/>
      <c r="FU1034" s="8"/>
      <c r="FV1034" s="8"/>
      <c r="FW1034" s="8"/>
      <c r="FX1034" s="8"/>
      <c r="FY1034" s="8"/>
      <c r="FZ1034" s="8"/>
      <c r="GA1034" s="8"/>
      <c r="GB1034" s="8"/>
      <c r="GC1034" s="8"/>
      <c r="GD1034" s="8"/>
      <c r="GE1034" s="8"/>
      <c r="GF1034" s="8"/>
      <c r="GG1034" s="8"/>
      <c r="GH1034" s="8"/>
      <c r="GI1034" s="8"/>
      <c r="GJ1034" s="8"/>
      <c r="GK1034" s="8"/>
      <c r="GL1034" s="8"/>
      <c r="GM1034" s="8"/>
      <c r="GN1034" s="8"/>
      <c r="GO1034" s="8"/>
      <c r="GP1034" s="8"/>
      <c r="GQ1034" s="8"/>
      <c r="GR1034" s="8"/>
      <c r="GS1034" s="8"/>
      <c r="GT1034" s="8"/>
      <c r="GU1034" s="8"/>
      <c r="GV1034" s="8"/>
      <c r="GW1034" s="8"/>
      <c r="GX1034" s="8"/>
      <c r="GY1034" s="8"/>
      <c r="GZ1034" s="8"/>
      <c r="HA1034" s="8"/>
      <c r="HB1034" s="8"/>
      <c r="HC1034" s="8"/>
      <c r="HD1034" s="8"/>
      <c r="HE1034" s="8"/>
      <c r="HF1034" s="8"/>
      <c r="HG1034" s="8"/>
      <c r="HH1034" s="8"/>
      <c r="HI1034" s="8"/>
      <c r="HJ1034" s="8"/>
      <c r="HK1034" s="8"/>
      <c r="HL1034" s="8"/>
      <c r="HM1034" s="8"/>
      <c r="HN1034" s="8"/>
      <c r="HO1034" s="8"/>
      <c r="HP1034" s="8"/>
      <c r="HQ1034" s="8"/>
      <c r="HR1034" s="8"/>
      <c r="HS1034" s="8"/>
      <c r="HT1034" s="8"/>
      <c r="HU1034" s="8"/>
      <c r="HV1034" s="8"/>
      <c r="HW1034" s="8"/>
      <c r="HX1034" s="8"/>
      <c r="HY1034" s="8"/>
      <c r="HZ1034" s="8"/>
      <c r="IA1034" s="8"/>
      <c r="IB1034" s="8"/>
      <c r="IC1034" s="8"/>
      <c r="ID1034" s="8"/>
      <c r="IE1034" s="8"/>
      <c r="IF1034" s="8"/>
    </row>
    <row r="1035" spans="1:240" ht="30" customHeight="1">
      <c r="A1035" s="5">
        <v>1033</v>
      </c>
      <c r="B1035" s="5"/>
      <c r="C1035" s="5"/>
      <c r="D1035" s="5" t="s">
        <v>68</v>
      </c>
      <c r="E1035" s="5">
        <v>4640</v>
      </c>
      <c r="F1035" s="5">
        <v>4640</v>
      </c>
      <c r="G1035" s="5">
        <v>3750</v>
      </c>
      <c r="H1035" s="5">
        <v>4400</v>
      </c>
      <c r="I1035" s="5" t="s">
        <v>13</v>
      </c>
      <c r="J1035" s="5">
        <f>3900/1000*60</f>
        <v>234</v>
      </c>
      <c r="K1035" s="17">
        <v>5</v>
      </c>
      <c r="L1035" s="5">
        <v>1055.06</v>
      </c>
      <c r="M1035" s="5" t="s">
        <v>48</v>
      </c>
      <c r="N1035" s="5" t="s">
        <v>48</v>
      </c>
      <c r="O1035" s="5">
        <f>2200*60</f>
        <v>132000</v>
      </c>
      <c r="P1035" s="5"/>
      <c r="Q1035" s="5"/>
      <c r="R1035" s="5">
        <v>1</v>
      </c>
      <c r="S1035" s="5">
        <v>2400</v>
      </c>
      <c r="T1035" s="5" t="s">
        <v>48</v>
      </c>
      <c r="U1035" s="5" t="s">
        <v>48</v>
      </c>
      <c r="V1035" s="15">
        <f>10* 0.7457</f>
        <v>7.4570000000000007</v>
      </c>
      <c r="W1035" s="5" t="s">
        <v>48</v>
      </c>
      <c r="X1035" s="5" t="s">
        <v>62</v>
      </c>
      <c r="Y1035" s="5" t="s">
        <v>48</v>
      </c>
      <c r="Z1035" s="5" t="s">
        <v>48</v>
      </c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  <c r="BY1035" s="8"/>
      <c r="BZ1035" s="8"/>
      <c r="CA1035" s="8"/>
      <c r="CB1035" s="8"/>
      <c r="CC1035" s="8"/>
      <c r="CD1035" s="8"/>
      <c r="CE1035" s="8"/>
      <c r="CF1035" s="8"/>
      <c r="CG1035" s="8"/>
      <c r="CH1035" s="8"/>
      <c r="CI1035" s="8"/>
      <c r="CJ1035" s="8"/>
      <c r="CK1035" s="8"/>
      <c r="CL1035" s="8"/>
      <c r="CM1035" s="8"/>
      <c r="CN1035" s="8"/>
      <c r="CO1035" s="8"/>
      <c r="CP1035" s="8"/>
      <c r="CQ1035" s="8"/>
      <c r="CR1035" s="8"/>
      <c r="CS1035" s="8"/>
      <c r="CT1035" s="8"/>
      <c r="CU1035" s="8"/>
      <c r="CV1035" s="8"/>
      <c r="CW1035" s="8"/>
      <c r="CX1035" s="8"/>
      <c r="CY1035" s="8"/>
      <c r="CZ1035" s="8"/>
      <c r="DA1035" s="8"/>
      <c r="DB1035" s="8"/>
      <c r="DC1035" s="8"/>
      <c r="DD1035" s="8"/>
      <c r="DE1035" s="8"/>
      <c r="DF1035" s="8"/>
      <c r="DG1035" s="8"/>
      <c r="DH1035" s="8"/>
      <c r="DI1035" s="8"/>
      <c r="DJ1035" s="8"/>
      <c r="DK1035" s="8"/>
      <c r="DL1035" s="8"/>
      <c r="DM1035" s="8"/>
      <c r="DN1035" s="8"/>
      <c r="DO1035" s="8"/>
      <c r="DP1035" s="8"/>
      <c r="DQ1035" s="8"/>
      <c r="DR1035" s="8"/>
      <c r="DS1035" s="8"/>
      <c r="DT1035" s="8"/>
      <c r="DU1035" s="8"/>
      <c r="DV1035" s="8"/>
      <c r="DW1035" s="8"/>
      <c r="DX1035" s="8"/>
      <c r="DY1035" s="8"/>
      <c r="DZ1035" s="8"/>
      <c r="EA1035" s="8"/>
      <c r="EB1035" s="8"/>
      <c r="EC1035" s="8"/>
      <c r="ED1035" s="8"/>
      <c r="EE1035" s="8"/>
      <c r="EF1035" s="8"/>
      <c r="EG1035" s="8"/>
      <c r="EH1035" s="8"/>
      <c r="EI1035" s="8"/>
      <c r="EJ1035" s="8"/>
      <c r="EK1035" s="8"/>
      <c r="EL1035" s="8"/>
      <c r="EM1035" s="8"/>
      <c r="EN1035" s="8"/>
      <c r="EO1035" s="8"/>
      <c r="EP1035" s="8"/>
      <c r="EQ1035" s="8"/>
      <c r="ER1035" s="8"/>
      <c r="ES1035" s="8"/>
      <c r="ET1035" s="8"/>
      <c r="EU1035" s="8"/>
      <c r="EV1035" s="8"/>
      <c r="EW1035" s="8"/>
      <c r="EX1035" s="8"/>
      <c r="EY1035" s="8"/>
      <c r="EZ1035" s="8"/>
      <c r="FA1035" s="8"/>
      <c r="FB1035" s="8"/>
      <c r="FC1035" s="8"/>
      <c r="FD1035" s="8"/>
      <c r="FE1035" s="8"/>
      <c r="FF1035" s="8"/>
      <c r="FG1035" s="8"/>
      <c r="FH1035" s="8"/>
      <c r="FI1035" s="8"/>
      <c r="FJ1035" s="8"/>
      <c r="FK1035" s="8"/>
      <c r="FL1035" s="8"/>
      <c r="FM1035" s="8"/>
      <c r="FN1035" s="8"/>
      <c r="FO1035" s="8"/>
      <c r="FP1035" s="8"/>
      <c r="FQ1035" s="8"/>
      <c r="FR1035" s="8"/>
      <c r="FS1035" s="8"/>
      <c r="FT1035" s="8"/>
      <c r="FU1035" s="8"/>
      <c r="FV1035" s="8"/>
      <c r="FW1035" s="8"/>
      <c r="FX1035" s="8"/>
      <c r="FY1035" s="8"/>
      <c r="FZ1035" s="8"/>
      <c r="GA1035" s="8"/>
      <c r="GB1035" s="8"/>
      <c r="GC1035" s="8"/>
      <c r="GD1035" s="8"/>
      <c r="GE1035" s="8"/>
      <c r="GF1035" s="8"/>
      <c r="GG1035" s="8"/>
      <c r="GH1035" s="8"/>
      <c r="GI1035" s="8"/>
      <c r="GJ1035" s="8"/>
      <c r="GK1035" s="8"/>
      <c r="GL1035" s="8"/>
      <c r="GM1035" s="8"/>
      <c r="GN1035" s="8"/>
      <c r="GO1035" s="8"/>
      <c r="GP1035" s="8"/>
      <c r="GQ1035" s="8"/>
      <c r="GR1035" s="8"/>
      <c r="GS1035" s="8"/>
      <c r="GT1035" s="8"/>
      <c r="GU1035" s="8"/>
      <c r="GV1035" s="8"/>
      <c r="GW1035" s="8"/>
      <c r="GX1035" s="8"/>
      <c r="GY1035" s="8"/>
      <c r="GZ1035" s="8"/>
      <c r="HA1035" s="8"/>
      <c r="HB1035" s="8"/>
      <c r="HC1035" s="8"/>
      <c r="HD1035" s="8"/>
      <c r="HE1035" s="8"/>
      <c r="HF1035" s="8"/>
      <c r="HG1035" s="8"/>
      <c r="HH1035" s="8"/>
      <c r="HI1035" s="8"/>
      <c r="HJ1035" s="8"/>
      <c r="HK1035" s="8"/>
      <c r="HL1035" s="8"/>
      <c r="HM1035" s="8"/>
      <c r="HN1035" s="8"/>
      <c r="HO1035" s="8"/>
      <c r="HP1035" s="8"/>
      <c r="HQ1035" s="8"/>
      <c r="HR1035" s="8"/>
      <c r="HS1035" s="8"/>
      <c r="HT1035" s="8"/>
      <c r="HU1035" s="8"/>
      <c r="HV1035" s="8"/>
      <c r="HW1035" s="8"/>
      <c r="HX1035" s="8"/>
      <c r="HY1035" s="8"/>
      <c r="HZ1035" s="8"/>
      <c r="IA1035" s="8"/>
      <c r="IB1035" s="8"/>
      <c r="IC1035" s="8"/>
      <c r="ID1035" s="8"/>
      <c r="IE1035" s="8"/>
      <c r="IF1035" s="8"/>
    </row>
    <row r="1036" spans="1:240" ht="30" customHeight="1">
      <c r="A1036" s="5">
        <v>1034</v>
      </c>
      <c r="B1036" s="5"/>
      <c r="C1036" s="5"/>
      <c r="D1036" s="5" t="s">
        <v>68</v>
      </c>
      <c r="E1036" s="5">
        <v>4640</v>
      </c>
      <c r="F1036" s="5">
        <v>4640</v>
      </c>
      <c r="G1036" s="5">
        <v>3750</v>
      </c>
      <c r="H1036" s="5">
        <v>4500</v>
      </c>
      <c r="I1036" s="5" t="s">
        <v>13</v>
      </c>
      <c r="J1036" s="5">
        <f>4550/1000*60</f>
        <v>273</v>
      </c>
      <c r="K1036" s="17">
        <v>5</v>
      </c>
      <c r="L1036" s="5">
        <v>1230.9000000000001</v>
      </c>
      <c r="M1036" s="5" t="s">
        <v>48</v>
      </c>
      <c r="N1036" s="5" t="s">
        <v>48</v>
      </c>
      <c r="O1036" s="5">
        <f>2300*60</f>
        <v>138000</v>
      </c>
      <c r="P1036" s="5"/>
      <c r="Q1036" s="5"/>
      <c r="R1036" s="5">
        <v>1</v>
      </c>
      <c r="S1036" s="5">
        <v>2400</v>
      </c>
      <c r="T1036" s="5" t="s">
        <v>48</v>
      </c>
      <c r="U1036" s="5" t="s">
        <v>48</v>
      </c>
      <c r="V1036" s="15">
        <f>10*0.7457</f>
        <v>7.4570000000000007</v>
      </c>
      <c r="W1036" s="5" t="s">
        <v>48</v>
      </c>
      <c r="X1036" s="5" t="s">
        <v>62</v>
      </c>
      <c r="Y1036" s="5" t="s">
        <v>48</v>
      </c>
      <c r="Z1036" s="5" t="s">
        <v>48</v>
      </c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  <c r="BY1036" s="8"/>
      <c r="BZ1036" s="8"/>
      <c r="CA1036" s="8"/>
      <c r="CB1036" s="8"/>
      <c r="CC1036" s="8"/>
      <c r="CD1036" s="8"/>
      <c r="CE1036" s="8"/>
      <c r="CF1036" s="8"/>
      <c r="CG1036" s="8"/>
      <c r="CH1036" s="8"/>
      <c r="CI1036" s="8"/>
      <c r="CJ1036" s="8"/>
      <c r="CK1036" s="8"/>
      <c r="CL1036" s="8"/>
      <c r="CM1036" s="8"/>
      <c r="CN1036" s="8"/>
      <c r="CO1036" s="8"/>
      <c r="CP1036" s="8"/>
      <c r="CQ1036" s="8"/>
      <c r="CR1036" s="8"/>
      <c r="CS1036" s="8"/>
      <c r="CT1036" s="8"/>
      <c r="CU1036" s="8"/>
      <c r="CV1036" s="8"/>
      <c r="CW1036" s="8"/>
      <c r="CX1036" s="8"/>
      <c r="CY1036" s="8"/>
      <c r="CZ1036" s="8"/>
      <c r="DA1036" s="8"/>
      <c r="DB1036" s="8"/>
      <c r="DC1036" s="8"/>
      <c r="DD1036" s="8"/>
      <c r="DE1036" s="8"/>
      <c r="DF1036" s="8"/>
      <c r="DG1036" s="8"/>
      <c r="DH1036" s="8"/>
      <c r="DI1036" s="8"/>
      <c r="DJ1036" s="8"/>
      <c r="DK1036" s="8"/>
      <c r="DL1036" s="8"/>
      <c r="DM1036" s="8"/>
      <c r="DN1036" s="8"/>
      <c r="DO1036" s="8"/>
      <c r="DP1036" s="8"/>
      <c r="DQ1036" s="8"/>
      <c r="DR1036" s="8"/>
      <c r="DS1036" s="8"/>
      <c r="DT1036" s="8"/>
      <c r="DU1036" s="8"/>
      <c r="DV1036" s="8"/>
      <c r="DW1036" s="8"/>
      <c r="DX1036" s="8"/>
      <c r="DY1036" s="8"/>
      <c r="DZ1036" s="8"/>
      <c r="EA1036" s="8"/>
      <c r="EB1036" s="8"/>
      <c r="EC1036" s="8"/>
      <c r="ED1036" s="8"/>
      <c r="EE1036" s="8"/>
      <c r="EF1036" s="8"/>
      <c r="EG1036" s="8"/>
      <c r="EH1036" s="8"/>
      <c r="EI1036" s="8"/>
      <c r="EJ1036" s="8"/>
      <c r="EK1036" s="8"/>
      <c r="EL1036" s="8"/>
      <c r="EM1036" s="8"/>
      <c r="EN1036" s="8"/>
      <c r="EO1036" s="8"/>
      <c r="EP1036" s="8"/>
      <c r="EQ1036" s="8"/>
      <c r="ER1036" s="8"/>
      <c r="ES1036" s="8"/>
      <c r="ET1036" s="8"/>
      <c r="EU1036" s="8"/>
      <c r="EV1036" s="8"/>
      <c r="EW1036" s="8"/>
      <c r="EX1036" s="8"/>
      <c r="EY1036" s="8"/>
      <c r="EZ1036" s="8"/>
      <c r="FA1036" s="8"/>
      <c r="FB1036" s="8"/>
      <c r="FC1036" s="8"/>
      <c r="FD1036" s="8"/>
      <c r="FE1036" s="8"/>
      <c r="FF1036" s="8"/>
      <c r="FG1036" s="8"/>
      <c r="FH1036" s="8"/>
      <c r="FI1036" s="8"/>
      <c r="FJ1036" s="8"/>
      <c r="FK1036" s="8"/>
      <c r="FL1036" s="8"/>
      <c r="FM1036" s="8"/>
      <c r="FN1036" s="8"/>
      <c r="FO1036" s="8"/>
      <c r="FP1036" s="8"/>
      <c r="FQ1036" s="8"/>
      <c r="FR1036" s="8"/>
      <c r="FS1036" s="8"/>
      <c r="FT1036" s="8"/>
      <c r="FU1036" s="8"/>
      <c r="FV1036" s="8"/>
      <c r="FW1036" s="8"/>
      <c r="FX1036" s="8"/>
      <c r="FY1036" s="8"/>
      <c r="FZ1036" s="8"/>
      <c r="GA1036" s="8"/>
      <c r="GB1036" s="8"/>
      <c r="GC1036" s="8"/>
      <c r="GD1036" s="8"/>
      <c r="GE1036" s="8"/>
      <c r="GF1036" s="8"/>
      <c r="GG1036" s="8"/>
      <c r="GH1036" s="8"/>
      <c r="GI1036" s="8"/>
      <c r="GJ1036" s="8"/>
      <c r="GK1036" s="8"/>
      <c r="GL1036" s="8"/>
      <c r="GM1036" s="8"/>
      <c r="GN1036" s="8"/>
      <c r="GO1036" s="8"/>
      <c r="GP1036" s="8"/>
      <c r="GQ1036" s="8"/>
      <c r="GR1036" s="8"/>
      <c r="GS1036" s="8"/>
      <c r="GT1036" s="8"/>
      <c r="GU1036" s="8"/>
      <c r="GV1036" s="8"/>
      <c r="GW1036" s="8"/>
      <c r="GX1036" s="8"/>
      <c r="GY1036" s="8"/>
      <c r="GZ1036" s="8"/>
      <c r="HA1036" s="8"/>
      <c r="HB1036" s="8"/>
      <c r="HC1036" s="8"/>
      <c r="HD1036" s="8"/>
      <c r="HE1036" s="8"/>
      <c r="HF1036" s="8"/>
      <c r="HG1036" s="8"/>
      <c r="HH1036" s="8"/>
      <c r="HI1036" s="8"/>
      <c r="HJ1036" s="8"/>
      <c r="HK1036" s="8"/>
      <c r="HL1036" s="8"/>
      <c r="HM1036" s="8"/>
      <c r="HN1036" s="8"/>
      <c r="HO1036" s="8"/>
      <c r="HP1036" s="8"/>
      <c r="HQ1036" s="8"/>
      <c r="HR1036" s="8"/>
      <c r="HS1036" s="8"/>
      <c r="HT1036" s="8"/>
      <c r="HU1036" s="8"/>
      <c r="HV1036" s="8"/>
      <c r="HW1036" s="8"/>
      <c r="HX1036" s="8"/>
      <c r="HY1036" s="8"/>
      <c r="HZ1036" s="8"/>
      <c r="IA1036" s="8"/>
      <c r="IB1036" s="8"/>
      <c r="IC1036" s="8"/>
      <c r="ID1036" s="8"/>
      <c r="IE1036" s="8"/>
      <c r="IF1036" s="8"/>
    </row>
    <row r="1037" spans="1:240" ht="30" customHeight="1">
      <c r="A1037" s="5">
        <v>1035</v>
      </c>
      <c r="B1037" s="5"/>
      <c r="C1037" s="5"/>
      <c r="D1037" s="5" t="s">
        <v>68</v>
      </c>
      <c r="E1037" s="5">
        <v>5200</v>
      </c>
      <c r="F1037" s="5">
        <v>5200</v>
      </c>
      <c r="G1037" s="5">
        <v>4595</v>
      </c>
      <c r="H1037" s="5">
        <v>6700</v>
      </c>
      <c r="I1037" s="5" t="s">
        <v>13</v>
      </c>
      <c r="J1037" s="5">
        <f>5200/1000*60</f>
        <v>312</v>
      </c>
      <c r="K1037" s="17">
        <v>5</v>
      </c>
      <c r="L1037" s="5">
        <v>1406.74</v>
      </c>
      <c r="M1037" s="5" t="s">
        <v>48</v>
      </c>
      <c r="N1037" s="5" t="s">
        <v>48</v>
      </c>
      <c r="O1037" s="5">
        <f>2600*60</f>
        <v>156000</v>
      </c>
      <c r="P1037" s="5"/>
      <c r="Q1037" s="5"/>
      <c r="R1037" s="5">
        <v>1</v>
      </c>
      <c r="S1037" s="5">
        <v>3100</v>
      </c>
      <c r="T1037" s="5" t="s">
        <v>48</v>
      </c>
      <c r="U1037" s="5" t="s">
        <v>48</v>
      </c>
      <c r="V1037" s="15">
        <f>15*0.7457</f>
        <v>11.185500000000001</v>
      </c>
      <c r="W1037" s="5" t="s">
        <v>48</v>
      </c>
      <c r="X1037" s="5" t="s">
        <v>64</v>
      </c>
      <c r="Y1037" s="5" t="s">
        <v>48</v>
      </c>
      <c r="Z1037" s="5" t="s">
        <v>48</v>
      </c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  <c r="BY1037" s="8"/>
      <c r="BZ1037" s="8"/>
      <c r="CA1037" s="8"/>
      <c r="CB1037" s="8"/>
      <c r="CC1037" s="8"/>
      <c r="CD1037" s="8"/>
      <c r="CE1037" s="8"/>
      <c r="CF1037" s="8"/>
      <c r="CG1037" s="8"/>
      <c r="CH1037" s="8"/>
      <c r="CI1037" s="8"/>
      <c r="CJ1037" s="8"/>
      <c r="CK1037" s="8"/>
      <c r="CL1037" s="8"/>
      <c r="CM1037" s="8"/>
      <c r="CN1037" s="8"/>
      <c r="CO1037" s="8"/>
      <c r="CP1037" s="8"/>
      <c r="CQ1037" s="8"/>
      <c r="CR1037" s="8"/>
      <c r="CS1037" s="8"/>
      <c r="CT1037" s="8"/>
      <c r="CU1037" s="8"/>
      <c r="CV1037" s="8"/>
      <c r="CW1037" s="8"/>
      <c r="CX1037" s="8"/>
      <c r="CY1037" s="8"/>
      <c r="CZ1037" s="8"/>
      <c r="DA1037" s="8"/>
      <c r="DB1037" s="8"/>
      <c r="DC1037" s="8"/>
      <c r="DD1037" s="8"/>
      <c r="DE1037" s="8"/>
      <c r="DF1037" s="8"/>
      <c r="DG1037" s="8"/>
      <c r="DH1037" s="8"/>
      <c r="DI1037" s="8"/>
      <c r="DJ1037" s="8"/>
      <c r="DK1037" s="8"/>
      <c r="DL1037" s="8"/>
      <c r="DM1037" s="8"/>
      <c r="DN1037" s="8"/>
      <c r="DO1037" s="8"/>
      <c r="DP1037" s="8"/>
      <c r="DQ1037" s="8"/>
      <c r="DR1037" s="8"/>
      <c r="DS1037" s="8"/>
      <c r="DT1037" s="8"/>
      <c r="DU1037" s="8"/>
      <c r="DV1037" s="8"/>
      <c r="DW1037" s="8"/>
      <c r="DX1037" s="8"/>
      <c r="DY1037" s="8"/>
      <c r="DZ1037" s="8"/>
      <c r="EA1037" s="8"/>
      <c r="EB1037" s="8"/>
      <c r="EC1037" s="8"/>
      <c r="ED1037" s="8"/>
      <c r="EE1037" s="8"/>
      <c r="EF1037" s="8"/>
      <c r="EG1037" s="8"/>
      <c r="EH1037" s="8"/>
      <c r="EI1037" s="8"/>
      <c r="EJ1037" s="8"/>
      <c r="EK1037" s="8"/>
      <c r="EL1037" s="8"/>
      <c r="EM1037" s="8"/>
      <c r="EN1037" s="8"/>
      <c r="EO1037" s="8"/>
      <c r="EP1037" s="8"/>
      <c r="EQ1037" s="8"/>
      <c r="ER1037" s="8"/>
      <c r="ES1037" s="8"/>
      <c r="ET1037" s="8"/>
      <c r="EU1037" s="8"/>
      <c r="EV1037" s="8"/>
      <c r="EW1037" s="8"/>
      <c r="EX1037" s="8"/>
      <c r="EY1037" s="8"/>
      <c r="EZ1037" s="8"/>
      <c r="FA1037" s="8"/>
      <c r="FB1037" s="8"/>
      <c r="FC1037" s="8"/>
      <c r="FD1037" s="8"/>
      <c r="FE1037" s="8"/>
      <c r="FF1037" s="8"/>
      <c r="FG1037" s="8"/>
      <c r="FH1037" s="8"/>
      <c r="FI1037" s="8"/>
      <c r="FJ1037" s="8"/>
      <c r="FK1037" s="8"/>
      <c r="FL1037" s="8"/>
      <c r="FM1037" s="8"/>
      <c r="FN1037" s="8"/>
      <c r="FO1037" s="8"/>
      <c r="FP1037" s="8"/>
      <c r="FQ1037" s="8"/>
      <c r="FR1037" s="8"/>
      <c r="FS1037" s="8"/>
      <c r="FT1037" s="8"/>
      <c r="FU1037" s="8"/>
      <c r="FV1037" s="8"/>
      <c r="FW1037" s="8"/>
      <c r="FX1037" s="8"/>
      <c r="FY1037" s="8"/>
      <c r="FZ1037" s="8"/>
      <c r="GA1037" s="8"/>
      <c r="GB1037" s="8"/>
      <c r="GC1037" s="8"/>
      <c r="GD1037" s="8"/>
      <c r="GE1037" s="8"/>
      <c r="GF1037" s="8"/>
      <c r="GG1037" s="8"/>
      <c r="GH1037" s="8"/>
      <c r="GI1037" s="8"/>
      <c r="GJ1037" s="8"/>
      <c r="GK1037" s="8"/>
      <c r="GL1037" s="8"/>
      <c r="GM1037" s="8"/>
      <c r="GN1037" s="8"/>
      <c r="GO1037" s="8"/>
      <c r="GP1037" s="8"/>
      <c r="GQ1037" s="8"/>
      <c r="GR1037" s="8"/>
      <c r="GS1037" s="8"/>
      <c r="GT1037" s="8"/>
      <c r="GU1037" s="8"/>
      <c r="GV1037" s="8"/>
      <c r="GW1037" s="8"/>
      <c r="GX1037" s="8"/>
      <c r="GY1037" s="8"/>
      <c r="GZ1037" s="8"/>
      <c r="HA1037" s="8"/>
      <c r="HB1037" s="8"/>
      <c r="HC1037" s="8"/>
      <c r="HD1037" s="8"/>
      <c r="HE1037" s="8"/>
      <c r="HF1037" s="8"/>
      <c r="HG1037" s="8"/>
      <c r="HH1037" s="8"/>
      <c r="HI1037" s="8"/>
      <c r="HJ1037" s="8"/>
      <c r="HK1037" s="8"/>
      <c r="HL1037" s="8"/>
      <c r="HM1037" s="8"/>
      <c r="HN1037" s="8"/>
      <c r="HO1037" s="8"/>
      <c r="HP1037" s="8"/>
      <c r="HQ1037" s="8"/>
      <c r="HR1037" s="8"/>
      <c r="HS1037" s="8"/>
      <c r="HT1037" s="8"/>
      <c r="HU1037" s="8"/>
      <c r="HV1037" s="8"/>
      <c r="HW1037" s="8"/>
      <c r="HX1037" s="8"/>
      <c r="HY1037" s="8"/>
      <c r="HZ1037" s="8"/>
      <c r="IA1037" s="8"/>
      <c r="IB1037" s="8"/>
      <c r="IC1037" s="8"/>
      <c r="ID1037" s="8"/>
      <c r="IE1037" s="8"/>
      <c r="IF1037" s="8"/>
    </row>
    <row r="1038" spans="1:240" ht="30" customHeight="1">
      <c r="A1038" s="5">
        <v>1036</v>
      </c>
      <c r="B1038" s="5"/>
      <c r="C1038" s="5"/>
      <c r="D1038" s="5" t="s">
        <v>68</v>
      </c>
      <c r="E1038" s="5">
        <v>5200</v>
      </c>
      <c r="F1038" s="5">
        <v>5200</v>
      </c>
      <c r="G1038" s="5">
        <v>4595</v>
      </c>
      <c r="H1038" s="5">
        <v>7000</v>
      </c>
      <c r="I1038" s="5" t="s">
        <v>13</v>
      </c>
      <c r="J1038" s="5">
        <f>6500/1000*60</f>
        <v>390</v>
      </c>
      <c r="K1038" s="17">
        <v>5</v>
      </c>
      <c r="L1038" s="5">
        <v>1758.43</v>
      </c>
      <c r="M1038" s="5" t="s">
        <v>48</v>
      </c>
      <c r="N1038" s="5" t="s">
        <v>48</v>
      </c>
      <c r="O1038" s="5">
        <f>2750*60</f>
        <v>165000</v>
      </c>
      <c r="P1038" s="5"/>
      <c r="Q1038" s="5"/>
      <c r="R1038" s="5">
        <v>1</v>
      </c>
      <c r="S1038" s="5">
        <v>3100</v>
      </c>
      <c r="T1038" s="5" t="s">
        <v>48</v>
      </c>
      <c r="U1038" s="5" t="s">
        <v>48</v>
      </c>
      <c r="V1038" s="15">
        <f>15 * 0.7457</f>
        <v>11.185500000000001</v>
      </c>
      <c r="W1038" s="5" t="s">
        <v>48</v>
      </c>
      <c r="X1038" s="5" t="s">
        <v>64</v>
      </c>
      <c r="Y1038" s="5" t="s">
        <v>48</v>
      </c>
      <c r="Z1038" s="5" t="s">
        <v>48</v>
      </c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  <c r="BY1038" s="8"/>
      <c r="BZ1038" s="8"/>
      <c r="CA1038" s="8"/>
      <c r="CB1038" s="8"/>
      <c r="CC1038" s="8"/>
      <c r="CD1038" s="8"/>
      <c r="CE1038" s="8"/>
      <c r="CF1038" s="8"/>
      <c r="CG1038" s="8"/>
      <c r="CH1038" s="8"/>
      <c r="CI1038" s="8"/>
      <c r="CJ1038" s="8"/>
      <c r="CK1038" s="8"/>
      <c r="CL1038" s="8"/>
      <c r="CM1038" s="8"/>
      <c r="CN1038" s="8"/>
      <c r="CO1038" s="8"/>
      <c r="CP1038" s="8"/>
      <c r="CQ1038" s="8"/>
      <c r="CR1038" s="8"/>
      <c r="CS1038" s="8"/>
      <c r="CT1038" s="8"/>
      <c r="CU1038" s="8"/>
      <c r="CV1038" s="8"/>
      <c r="CW1038" s="8"/>
      <c r="CX1038" s="8"/>
      <c r="CY1038" s="8"/>
      <c r="CZ1038" s="8"/>
      <c r="DA1038" s="8"/>
      <c r="DB1038" s="8"/>
      <c r="DC1038" s="8"/>
      <c r="DD1038" s="8"/>
      <c r="DE1038" s="8"/>
      <c r="DF1038" s="8"/>
      <c r="DG1038" s="8"/>
      <c r="DH1038" s="8"/>
      <c r="DI1038" s="8"/>
      <c r="DJ1038" s="8"/>
      <c r="DK1038" s="8"/>
      <c r="DL1038" s="8"/>
      <c r="DM1038" s="8"/>
      <c r="DN1038" s="8"/>
      <c r="DO1038" s="8"/>
      <c r="DP1038" s="8"/>
      <c r="DQ1038" s="8"/>
      <c r="DR1038" s="8"/>
      <c r="DS1038" s="8"/>
      <c r="DT1038" s="8"/>
      <c r="DU1038" s="8"/>
      <c r="DV1038" s="8"/>
      <c r="DW1038" s="8"/>
      <c r="DX1038" s="8"/>
      <c r="DY1038" s="8"/>
      <c r="DZ1038" s="8"/>
      <c r="EA1038" s="8"/>
      <c r="EB1038" s="8"/>
      <c r="EC1038" s="8"/>
      <c r="ED1038" s="8"/>
      <c r="EE1038" s="8"/>
      <c r="EF1038" s="8"/>
      <c r="EG1038" s="8"/>
      <c r="EH1038" s="8"/>
      <c r="EI1038" s="8"/>
      <c r="EJ1038" s="8"/>
      <c r="EK1038" s="8"/>
      <c r="EL1038" s="8"/>
      <c r="EM1038" s="8"/>
      <c r="EN1038" s="8"/>
      <c r="EO1038" s="8"/>
      <c r="EP1038" s="8"/>
      <c r="EQ1038" s="8"/>
      <c r="ER1038" s="8"/>
      <c r="ES1038" s="8"/>
      <c r="ET1038" s="8"/>
      <c r="EU1038" s="8"/>
      <c r="EV1038" s="8"/>
      <c r="EW1038" s="8"/>
      <c r="EX1038" s="8"/>
      <c r="EY1038" s="8"/>
      <c r="EZ1038" s="8"/>
      <c r="FA1038" s="8"/>
      <c r="FB1038" s="8"/>
      <c r="FC1038" s="8"/>
      <c r="FD1038" s="8"/>
      <c r="FE1038" s="8"/>
      <c r="FF1038" s="8"/>
      <c r="FG1038" s="8"/>
      <c r="FH1038" s="8"/>
      <c r="FI1038" s="8"/>
      <c r="FJ1038" s="8"/>
      <c r="FK1038" s="8"/>
      <c r="FL1038" s="8"/>
      <c r="FM1038" s="8"/>
      <c r="FN1038" s="8"/>
      <c r="FO1038" s="8"/>
      <c r="FP1038" s="8"/>
      <c r="FQ1038" s="8"/>
      <c r="FR1038" s="8"/>
      <c r="FS1038" s="8"/>
      <c r="FT1038" s="8"/>
      <c r="FU1038" s="8"/>
      <c r="FV1038" s="8"/>
      <c r="FW1038" s="8"/>
      <c r="FX1038" s="8"/>
      <c r="FY1038" s="8"/>
      <c r="FZ1038" s="8"/>
      <c r="GA1038" s="8"/>
      <c r="GB1038" s="8"/>
      <c r="GC1038" s="8"/>
      <c r="GD1038" s="8"/>
      <c r="GE1038" s="8"/>
      <c r="GF1038" s="8"/>
      <c r="GG1038" s="8"/>
      <c r="GH1038" s="8"/>
      <c r="GI1038" s="8"/>
      <c r="GJ1038" s="8"/>
      <c r="GK1038" s="8"/>
      <c r="GL1038" s="8"/>
      <c r="GM1038" s="8"/>
      <c r="GN1038" s="8"/>
      <c r="GO1038" s="8"/>
      <c r="GP1038" s="8"/>
      <c r="GQ1038" s="8"/>
      <c r="GR1038" s="8"/>
      <c r="GS1038" s="8"/>
      <c r="GT1038" s="8"/>
      <c r="GU1038" s="8"/>
      <c r="GV1038" s="8"/>
      <c r="GW1038" s="8"/>
      <c r="GX1038" s="8"/>
      <c r="GY1038" s="8"/>
      <c r="GZ1038" s="8"/>
      <c r="HA1038" s="8"/>
      <c r="HB1038" s="8"/>
      <c r="HC1038" s="8"/>
      <c r="HD1038" s="8"/>
      <c r="HE1038" s="8"/>
      <c r="HF1038" s="8"/>
      <c r="HG1038" s="8"/>
      <c r="HH1038" s="8"/>
      <c r="HI1038" s="8"/>
      <c r="HJ1038" s="8"/>
      <c r="HK1038" s="8"/>
      <c r="HL1038" s="8"/>
      <c r="HM1038" s="8"/>
      <c r="HN1038" s="8"/>
      <c r="HO1038" s="8"/>
      <c r="HP1038" s="8"/>
      <c r="HQ1038" s="8"/>
      <c r="HR1038" s="8"/>
      <c r="HS1038" s="8"/>
      <c r="HT1038" s="8"/>
      <c r="HU1038" s="8"/>
      <c r="HV1038" s="8"/>
      <c r="HW1038" s="8"/>
      <c r="HX1038" s="8"/>
      <c r="HY1038" s="8"/>
      <c r="HZ1038" s="8"/>
      <c r="IA1038" s="8"/>
      <c r="IB1038" s="8"/>
      <c r="IC1038" s="8"/>
      <c r="ID1038" s="8"/>
      <c r="IE1038" s="8"/>
      <c r="IF1038" s="8"/>
    </row>
    <row r="1039" spans="1:240" ht="30" customHeight="1">
      <c r="A1039" s="5">
        <v>1037</v>
      </c>
      <c r="B1039" s="5"/>
      <c r="C1039" s="5"/>
      <c r="D1039" s="5" t="s">
        <v>68</v>
      </c>
      <c r="E1039" s="5">
        <v>5500</v>
      </c>
      <c r="F1039" s="5">
        <v>5500</v>
      </c>
      <c r="G1039" s="5">
        <v>4595</v>
      </c>
      <c r="H1039" s="5">
        <v>9300</v>
      </c>
      <c r="I1039" s="5" t="s">
        <v>13</v>
      </c>
      <c r="J1039" s="5">
        <f>7800/1000*60</f>
        <v>468</v>
      </c>
      <c r="K1039" s="17">
        <v>5</v>
      </c>
      <c r="L1039" s="5">
        <v>2110.11</v>
      </c>
      <c r="M1039" s="5" t="s">
        <v>48</v>
      </c>
      <c r="N1039" s="5" t="s">
        <v>48</v>
      </c>
      <c r="O1039" s="5">
        <f>3750*60</f>
        <v>225000</v>
      </c>
      <c r="P1039" s="5"/>
      <c r="Q1039" s="5"/>
      <c r="R1039" s="5">
        <v>1</v>
      </c>
      <c r="S1039" s="5">
        <v>3100</v>
      </c>
      <c r="T1039" s="5" t="s">
        <v>48</v>
      </c>
      <c r="U1039" s="5" t="s">
        <v>48</v>
      </c>
      <c r="V1039" s="15">
        <f>20 * 0.7457</f>
        <v>14.914000000000001</v>
      </c>
      <c r="W1039" s="5" t="s">
        <v>48</v>
      </c>
      <c r="X1039" s="5" t="s">
        <v>62</v>
      </c>
      <c r="Y1039" s="5" t="s">
        <v>48</v>
      </c>
      <c r="Z1039" s="5" t="s">
        <v>48</v>
      </c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  <c r="BY1039" s="8"/>
      <c r="BZ1039" s="8"/>
      <c r="CA1039" s="8"/>
      <c r="CB1039" s="8"/>
      <c r="CC1039" s="8"/>
      <c r="CD1039" s="8"/>
      <c r="CE1039" s="8"/>
      <c r="CF1039" s="8"/>
      <c r="CG1039" s="8"/>
      <c r="CH1039" s="8"/>
      <c r="CI1039" s="8"/>
      <c r="CJ1039" s="8"/>
      <c r="CK1039" s="8"/>
      <c r="CL1039" s="8"/>
      <c r="CM1039" s="8"/>
      <c r="CN1039" s="8"/>
      <c r="CO1039" s="8"/>
      <c r="CP1039" s="8"/>
      <c r="CQ1039" s="8"/>
      <c r="CR1039" s="8"/>
      <c r="CS1039" s="8"/>
      <c r="CT1039" s="8"/>
      <c r="CU1039" s="8"/>
      <c r="CV1039" s="8"/>
      <c r="CW1039" s="8"/>
      <c r="CX1039" s="8"/>
      <c r="CY1039" s="8"/>
      <c r="CZ1039" s="8"/>
      <c r="DA1039" s="8"/>
      <c r="DB1039" s="8"/>
      <c r="DC1039" s="8"/>
      <c r="DD1039" s="8"/>
      <c r="DE1039" s="8"/>
      <c r="DF1039" s="8"/>
      <c r="DG1039" s="8"/>
      <c r="DH1039" s="8"/>
      <c r="DI1039" s="8"/>
      <c r="DJ1039" s="8"/>
      <c r="DK1039" s="8"/>
      <c r="DL1039" s="8"/>
      <c r="DM1039" s="8"/>
      <c r="DN1039" s="8"/>
      <c r="DO1039" s="8"/>
      <c r="DP1039" s="8"/>
      <c r="DQ1039" s="8"/>
      <c r="DR1039" s="8"/>
      <c r="DS1039" s="8"/>
      <c r="DT1039" s="8"/>
      <c r="DU1039" s="8"/>
      <c r="DV1039" s="8"/>
      <c r="DW1039" s="8"/>
      <c r="DX1039" s="8"/>
      <c r="DY1039" s="8"/>
      <c r="DZ1039" s="8"/>
      <c r="EA1039" s="8"/>
      <c r="EB1039" s="8"/>
      <c r="EC1039" s="8"/>
      <c r="ED1039" s="8"/>
      <c r="EE1039" s="8"/>
      <c r="EF1039" s="8"/>
      <c r="EG1039" s="8"/>
      <c r="EH1039" s="8"/>
      <c r="EI1039" s="8"/>
      <c r="EJ1039" s="8"/>
      <c r="EK1039" s="8"/>
      <c r="EL1039" s="8"/>
      <c r="EM1039" s="8"/>
      <c r="EN1039" s="8"/>
      <c r="EO1039" s="8"/>
      <c r="EP1039" s="8"/>
      <c r="EQ1039" s="8"/>
      <c r="ER1039" s="8"/>
      <c r="ES1039" s="8"/>
      <c r="ET1039" s="8"/>
      <c r="EU1039" s="8"/>
      <c r="EV1039" s="8"/>
      <c r="EW1039" s="8"/>
      <c r="EX1039" s="8"/>
      <c r="EY1039" s="8"/>
      <c r="EZ1039" s="8"/>
      <c r="FA1039" s="8"/>
      <c r="FB1039" s="8"/>
      <c r="FC1039" s="8"/>
      <c r="FD1039" s="8"/>
      <c r="FE1039" s="8"/>
      <c r="FF1039" s="8"/>
      <c r="FG1039" s="8"/>
      <c r="FH1039" s="8"/>
      <c r="FI1039" s="8"/>
      <c r="FJ1039" s="8"/>
      <c r="FK1039" s="8"/>
      <c r="FL1039" s="8"/>
      <c r="FM1039" s="8"/>
      <c r="FN1039" s="8"/>
      <c r="FO1039" s="8"/>
      <c r="FP1039" s="8"/>
      <c r="FQ1039" s="8"/>
      <c r="FR1039" s="8"/>
      <c r="FS1039" s="8"/>
      <c r="FT1039" s="8"/>
      <c r="FU1039" s="8"/>
      <c r="FV1039" s="8"/>
      <c r="FW1039" s="8"/>
      <c r="FX1039" s="8"/>
      <c r="FY1039" s="8"/>
      <c r="FZ1039" s="8"/>
      <c r="GA1039" s="8"/>
      <c r="GB1039" s="8"/>
      <c r="GC1039" s="8"/>
      <c r="GD1039" s="8"/>
      <c r="GE1039" s="8"/>
      <c r="GF1039" s="8"/>
      <c r="GG1039" s="8"/>
      <c r="GH1039" s="8"/>
      <c r="GI1039" s="8"/>
      <c r="GJ1039" s="8"/>
      <c r="GK1039" s="8"/>
      <c r="GL1039" s="8"/>
      <c r="GM1039" s="8"/>
      <c r="GN1039" s="8"/>
      <c r="GO1039" s="8"/>
      <c r="GP1039" s="8"/>
      <c r="GQ1039" s="8"/>
      <c r="GR1039" s="8"/>
      <c r="GS1039" s="8"/>
      <c r="GT1039" s="8"/>
      <c r="GU1039" s="8"/>
      <c r="GV1039" s="8"/>
      <c r="GW1039" s="8"/>
      <c r="GX1039" s="8"/>
      <c r="GY1039" s="8"/>
      <c r="GZ1039" s="8"/>
      <c r="HA1039" s="8"/>
      <c r="HB1039" s="8"/>
      <c r="HC1039" s="8"/>
      <c r="HD1039" s="8"/>
      <c r="HE1039" s="8"/>
      <c r="HF1039" s="8"/>
      <c r="HG1039" s="8"/>
      <c r="HH1039" s="8"/>
      <c r="HI1039" s="8"/>
      <c r="HJ1039" s="8"/>
      <c r="HK1039" s="8"/>
      <c r="HL1039" s="8"/>
      <c r="HM1039" s="8"/>
      <c r="HN1039" s="8"/>
      <c r="HO1039" s="8"/>
      <c r="HP1039" s="8"/>
      <c r="HQ1039" s="8"/>
      <c r="HR1039" s="8"/>
      <c r="HS1039" s="8"/>
      <c r="HT1039" s="8"/>
      <c r="HU1039" s="8"/>
      <c r="HV1039" s="8"/>
      <c r="HW1039" s="8"/>
      <c r="HX1039" s="8"/>
      <c r="HY1039" s="8"/>
      <c r="HZ1039" s="8"/>
      <c r="IA1039" s="8"/>
      <c r="IB1039" s="8"/>
      <c r="IC1039" s="8"/>
      <c r="ID1039" s="8"/>
      <c r="IE1039" s="8"/>
      <c r="IF1039" s="8"/>
    </row>
    <row r="1040" spans="1:240" ht="30" customHeight="1">
      <c r="A1040" s="5">
        <v>1038</v>
      </c>
      <c r="B1040" s="5"/>
      <c r="C1040" s="5"/>
      <c r="D1040" s="5" t="s">
        <v>68</v>
      </c>
      <c r="E1040" s="5">
        <v>6520</v>
      </c>
      <c r="F1040" s="5">
        <v>6520</v>
      </c>
      <c r="G1040" s="5">
        <v>4975</v>
      </c>
      <c r="H1040" s="5">
        <v>10650</v>
      </c>
      <c r="I1040" s="5" t="s">
        <v>13</v>
      </c>
      <c r="J1040" s="5">
        <f>9100/1000*60</f>
        <v>546</v>
      </c>
      <c r="K1040" s="17">
        <v>5</v>
      </c>
      <c r="L1040" s="5">
        <v>2461.8000000000002</v>
      </c>
      <c r="M1040" s="5" t="s">
        <v>48</v>
      </c>
      <c r="N1040" s="5" t="s">
        <v>48</v>
      </c>
      <c r="O1040" s="5">
        <f>4050*60</f>
        <v>243000</v>
      </c>
      <c r="P1040" s="5"/>
      <c r="Q1040" s="5"/>
      <c r="R1040" s="5">
        <v>1</v>
      </c>
      <c r="S1040" s="5">
        <v>3400</v>
      </c>
      <c r="T1040" s="5" t="s">
        <v>48</v>
      </c>
      <c r="U1040" s="5" t="s">
        <v>48</v>
      </c>
      <c r="V1040" s="15">
        <f>20 * 0.7457</f>
        <v>14.914000000000001</v>
      </c>
      <c r="W1040" s="5" t="s">
        <v>48</v>
      </c>
      <c r="X1040" s="5" t="s">
        <v>62</v>
      </c>
      <c r="Y1040" s="5" t="s">
        <v>48</v>
      </c>
      <c r="Z1040" s="5" t="s">
        <v>48</v>
      </c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  <c r="BY1040" s="8"/>
      <c r="BZ1040" s="8"/>
      <c r="CA1040" s="8"/>
      <c r="CB1040" s="8"/>
      <c r="CC1040" s="8"/>
      <c r="CD1040" s="8"/>
      <c r="CE1040" s="8"/>
      <c r="CF1040" s="8"/>
      <c r="CG1040" s="8"/>
      <c r="CH1040" s="8"/>
      <c r="CI1040" s="8"/>
      <c r="CJ1040" s="8"/>
      <c r="CK1040" s="8"/>
      <c r="CL1040" s="8"/>
      <c r="CM1040" s="8"/>
      <c r="CN1040" s="8"/>
      <c r="CO1040" s="8"/>
      <c r="CP1040" s="8"/>
      <c r="CQ1040" s="8"/>
      <c r="CR1040" s="8"/>
      <c r="CS1040" s="8"/>
      <c r="CT1040" s="8"/>
      <c r="CU1040" s="8"/>
      <c r="CV1040" s="8"/>
      <c r="CW1040" s="8"/>
      <c r="CX1040" s="8"/>
      <c r="CY1040" s="8"/>
      <c r="CZ1040" s="8"/>
      <c r="DA1040" s="8"/>
      <c r="DB1040" s="8"/>
      <c r="DC1040" s="8"/>
      <c r="DD1040" s="8"/>
      <c r="DE1040" s="8"/>
      <c r="DF1040" s="8"/>
      <c r="DG1040" s="8"/>
      <c r="DH1040" s="8"/>
      <c r="DI1040" s="8"/>
      <c r="DJ1040" s="8"/>
      <c r="DK1040" s="8"/>
      <c r="DL1040" s="8"/>
      <c r="DM1040" s="8"/>
      <c r="DN1040" s="8"/>
      <c r="DO1040" s="8"/>
      <c r="DP1040" s="8"/>
      <c r="DQ1040" s="8"/>
      <c r="DR1040" s="8"/>
      <c r="DS1040" s="8"/>
      <c r="DT1040" s="8"/>
      <c r="DU1040" s="8"/>
      <c r="DV1040" s="8"/>
      <c r="DW1040" s="8"/>
      <c r="DX1040" s="8"/>
      <c r="DY1040" s="8"/>
      <c r="DZ1040" s="8"/>
      <c r="EA1040" s="8"/>
      <c r="EB1040" s="8"/>
      <c r="EC1040" s="8"/>
      <c r="ED1040" s="8"/>
      <c r="EE1040" s="8"/>
      <c r="EF1040" s="8"/>
      <c r="EG1040" s="8"/>
      <c r="EH1040" s="8"/>
      <c r="EI1040" s="8"/>
      <c r="EJ1040" s="8"/>
      <c r="EK1040" s="8"/>
      <c r="EL1040" s="8"/>
      <c r="EM1040" s="8"/>
      <c r="EN1040" s="8"/>
      <c r="EO1040" s="8"/>
      <c r="EP1040" s="8"/>
      <c r="EQ1040" s="8"/>
      <c r="ER1040" s="8"/>
      <c r="ES1040" s="8"/>
      <c r="ET1040" s="8"/>
      <c r="EU1040" s="8"/>
      <c r="EV1040" s="8"/>
      <c r="EW1040" s="8"/>
      <c r="EX1040" s="8"/>
      <c r="EY1040" s="8"/>
      <c r="EZ1040" s="8"/>
      <c r="FA1040" s="8"/>
      <c r="FB1040" s="8"/>
      <c r="FC1040" s="8"/>
      <c r="FD1040" s="8"/>
      <c r="FE1040" s="8"/>
      <c r="FF1040" s="8"/>
      <c r="FG1040" s="8"/>
      <c r="FH1040" s="8"/>
      <c r="FI1040" s="8"/>
      <c r="FJ1040" s="8"/>
      <c r="FK1040" s="8"/>
      <c r="FL1040" s="8"/>
      <c r="FM1040" s="8"/>
      <c r="FN1040" s="8"/>
      <c r="FO1040" s="8"/>
      <c r="FP1040" s="8"/>
      <c r="FQ1040" s="8"/>
      <c r="FR1040" s="8"/>
      <c r="FS1040" s="8"/>
      <c r="FT1040" s="8"/>
      <c r="FU1040" s="8"/>
      <c r="FV1040" s="8"/>
      <c r="FW1040" s="8"/>
      <c r="FX1040" s="8"/>
      <c r="FY1040" s="8"/>
      <c r="FZ1040" s="8"/>
      <c r="GA1040" s="8"/>
      <c r="GB1040" s="8"/>
      <c r="GC1040" s="8"/>
      <c r="GD1040" s="8"/>
      <c r="GE1040" s="8"/>
      <c r="GF1040" s="8"/>
      <c r="GG1040" s="8"/>
      <c r="GH1040" s="8"/>
      <c r="GI1040" s="8"/>
      <c r="GJ1040" s="8"/>
      <c r="GK1040" s="8"/>
      <c r="GL1040" s="8"/>
      <c r="GM1040" s="8"/>
      <c r="GN1040" s="8"/>
      <c r="GO1040" s="8"/>
      <c r="GP1040" s="8"/>
      <c r="GQ1040" s="8"/>
      <c r="GR1040" s="8"/>
      <c r="GS1040" s="8"/>
      <c r="GT1040" s="8"/>
      <c r="GU1040" s="8"/>
      <c r="GV1040" s="8"/>
      <c r="GW1040" s="8"/>
      <c r="GX1040" s="8"/>
      <c r="GY1040" s="8"/>
      <c r="GZ1040" s="8"/>
      <c r="HA1040" s="8"/>
      <c r="HB1040" s="8"/>
      <c r="HC1040" s="8"/>
      <c r="HD1040" s="8"/>
      <c r="HE1040" s="8"/>
      <c r="HF1040" s="8"/>
      <c r="HG1040" s="8"/>
      <c r="HH1040" s="8"/>
      <c r="HI1040" s="8"/>
      <c r="HJ1040" s="8"/>
      <c r="HK1040" s="8"/>
      <c r="HL1040" s="8"/>
      <c r="HM1040" s="8"/>
      <c r="HN1040" s="8"/>
      <c r="HO1040" s="8"/>
      <c r="HP1040" s="8"/>
      <c r="HQ1040" s="8"/>
      <c r="HR1040" s="8"/>
      <c r="HS1040" s="8"/>
      <c r="HT1040" s="8"/>
      <c r="HU1040" s="8"/>
      <c r="HV1040" s="8"/>
      <c r="HW1040" s="8"/>
      <c r="HX1040" s="8"/>
      <c r="HY1040" s="8"/>
      <c r="HZ1040" s="8"/>
      <c r="IA1040" s="8"/>
      <c r="IB1040" s="8"/>
      <c r="IC1040" s="8"/>
      <c r="ID1040" s="8"/>
      <c r="IE1040" s="8"/>
      <c r="IF1040" s="8"/>
    </row>
    <row r="1041" spans="1:240" ht="30" customHeight="1">
      <c r="A1041" s="5">
        <v>1039</v>
      </c>
      <c r="B1041" s="5"/>
      <c r="C1041" s="5"/>
      <c r="D1041" s="5" t="s">
        <v>68</v>
      </c>
      <c r="E1041" s="5">
        <v>8020</v>
      </c>
      <c r="F1041" s="5">
        <v>8020</v>
      </c>
      <c r="G1041" s="5">
        <v>5150</v>
      </c>
      <c r="H1041" s="5">
        <v>12000</v>
      </c>
      <c r="I1041" s="5" t="s">
        <v>13</v>
      </c>
      <c r="J1041" s="5">
        <f>10400/1000*60</f>
        <v>624</v>
      </c>
      <c r="K1041" s="17">
        <v>5</v>
      </c>
      <c r="L1041" s="5">
        <v>2813.48</v>
      </c>
      <c r="M1041" s="5" t="s">
        <v>48</v>
      </c>
      <c r="N1041" s="5" t="s">
        <v>48</v>
      </c>
      <c r="O1041" s="5">
        <f>5000*60</f>
        <v>300000</v>
      </c>
      <c r="P1041" s="5"/>
      <c r="Q1041" s="5"/>
      <c r="R1041" s="5">
        <v>1</v>
      </c>
      <c r="S1041" s="5">
        <v>3600</v>
      </c>
      <c r="T1041" s="5" t="s">
        <v>48</v>
      </c>
      <c r="U1041" s="5" t="s">
        <v>48</v>
      </c>
      <c r="V1041" s="15">
        <f>25 * 0.7457</f>
        <v>18.642500000000002</v>
      </c>
      <c r="W1041" s="5" t="s">
        <v>48</v>
      </c>
      <c r="X1041" s="5" t="s">
        <v>64</v>
      </c>
      <c r="Y1041" s="5" t="s">
        <v>48</v>
      </c>
      <c r="Z1041" s="5" t="s">
        <v>48</v>
      </c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  <c r="BY1041" s="8"/>
      <c r="BZ1041" s="8"/>
      <c r="CA1041" s="8"/>
      <c r="CB1041" s="8"/>
      <c r="CC1041" s="8"/>
      <c r="CD1041" s="8"/>
      <c r="CE1041" s="8"/>
      <c r="CF1041" s="8"/>
      <c r="CG1041" s="8"/>
      <c r="CH1041" s="8"/>
      <c r="CI1041" s="8"/>
      <c r="CJ1041" s="8"/>
      <c r="CK1041" s="8"/>
      <c r="CL1041" s="8"/>
      <c r="CM1041" s="8"/>
      <c r="CN1041" s="8"/>
      <c r="CO1041" s="8"/>
      <c r="CP1041" s="8"/>
      <c r="CQ1041" s="8"/>
      <c r="CR1041" s="8"/>
      <c r="CS1041" s="8"/>
      <c r="CT1041" s="8"/>
      <c r="CU1041" s="8"/>
      <c r="CV1041" s="8"/>
      <c r="CW1041" s="8"/>
      <c r="CX1041" s="8"/>
      <c r="CY1041" s="8"/>
      <c r="CZ1041" s="8"/>
      <c r="DA1041" s="8"/>
      <c r="DB1041" s="8"/>
      <c r="DC1041" s="8"/>
      <c r="DD1041" s="8"/>
      <c r="DE1041" s="8"/>
      <c r="DF1041" s="8"/>
      <c r="DG1041" s="8"/>
      <c r="DH1041" s="8"/>
      <c r="DI1041" s="8"/>
      <c r="DJ1041" s="8"/>
      <c r="DK1041" s="8"/>
      <c r="DL1041" s="8"/>
      <c r="DM1041" s="8"/>
      <c r="DN1041" s="8"/>
      <c r="DO1041" s="8"/>
      <c r="DP1041" s="8"/>
      <c r="DQ1041" s="8"/>
      <c r="DR1041" s="8"/>
      <c r="DS1041" s="8"/>
      <c r="DT1041" s="8"/>
      <c r="DU1041" s="8"/>
      <c r="DV1041" s="8"/>
      <c r="DW1041" s="8"/>
      <c r="DX1041" s="8"/>
      <c r="DY1041" s="8"/>
      <c r="DZ1041" s="8"/>
      <c r="EA1041" s="8"/>
      <c r="EB1041" s="8"/>
      <c r="EC1041" s="8"/>
      <c r="ED1041" s="8"/>
      <c r="EE1041" s="8"/>
      <c r="EF1041" s="8"/>
      <c r="EG1041" s="8"/>
      <c r="EH1041" s="8"/>
      <c r="EI1041" s="8"/>
      <c r="EJ1041" s="8"/>
      <c r="EK1041" s="8"/>
      <c r="EL1041" s="8"/>
      <c r="EM1041" s="8"/>
      <c r="EN1041" s="8"/>
      <c r="EO1041" s="8"/>
      <c r="EP1041" s="8"/>
      <c r="EQ1041" s="8"/>
      <c r="ER1041" s="8"/>
      <c r="ES1041" s="8"/>
      <c r="ET1041" s="8"/>
      <c r="EU1041" s="8"/>
      <c r="EV1041" s="8"/>
      <c r="EW1041" s="8"/>
      <c r="EX1041" s="8"/>
      <c r="EY1041" s="8"/>
      <c r="EZ1041" s="8"/>
      <c r="FA1041" s="8"/>
      <c r="FB1041" s="8"/>
      <c r="FC1041" s="8"/>
      <c r="FD1041" s="8"/>
      <c r="FE1041" s="8"/>
      <c r="FF1041" s="8"/>
      <c r="FG1041" s="8"/>
      <c r="FH1041" s="8"/>
      <c r="FI1041" s="8"/>
      <c r="FJ1041" s="8"/>
      <c r="FK1041" s="8"/>
      <c r="FL1041" s="8"/>
      <c r="FM1041" s="8"/>
      <c r="FN1041" s="8"/>
      <c r="FO1041" s="8"/>
      <c r="FP1041" s="8"/>
      <c r="FQ1041" s="8"/>
      <c r="FR1041" s="8"/>
      <c r="FS1041" s="8"/>
      <c r="FT1041" s="8"/>
      <c r="FU1041" s="8"/>
      <c r="FV1041" s="8"/>
      <c r="FW1041" s="8"/>
      <c r="FX1041" s="8"/>
      <c r="FY1041" s="8"/>
      <c r="FZ1041" s="8"/>
      <c r="GA1041" s="8"/>
      <c r="GB1041" s="8"/>
      <c r="GC1041" s="8"/>
      <c r="GD1041" s="8"/>
      <c r="GE1041" s="8"/>
      <c r="GF1041" s="8"/>
      <c r="GG1041" s="8"/>
      <c r="GH1041" s="8"/>
      <c r="GI1041" s="8"/>
      <c r="GJ1041" s="8"/>
      <c r="GK1041" s="8"/>
      <c r="GL1041" s="8"/>
      <c r="GM1041" s="8"/>
      <c r="GN1041" s="8"/>
      <c r="GO1041" s="8"/>
      <c r="GP1041" s="8"/>
      <c r="GQ1041" s="8"/>
      <c r="GR1041" s="8"/>
      <c r="GS1041" s="8"/>
      <c r="GT1041" s="8"/>
      <c r="GU1041" s="8"/>
      <c r="GV1041" s="8"/>
      <c r="GW1041" s="8"/>
      <c r="GX1041" s="8"/>
      <c r="GY1041" s="8"/>
      <c r="GZ1041" s="8"/>
      <c r="HA1041" s="8"/>
      <c r="HB1041" s="8"/>
      <c r="HC1041" s="8"/>
      <c r="HD1041" s="8"/>
      <c r="HE1041" s="8"/>
      <c r="HF1041" s="8"/>
      <c r="HG1041" s="8"/>
      <c r="HH1041" s="8"/>
      <c r="HI1041" s="8"/>
      <c r="HJ1041" s="8"/>
      <c r="HK1041" s="8"/>
      <c r="HL1041" s="8"/>
      <c r="HM1041" s="8"/>
      <c r="HN1041" s="8"/>
      <c r="HO1041" s="8"/>
      <c r="HP1041" s="8"/>
      <c r="HQ1041" s="8"/>
      <c r="HR1041" s="8"/>
      <c r="HS1041" s="8"/>
      <c r="HT1041" s="8"/>
      <c r="HU1041" s="8"/>
      <c r="HV1041" s="8"/>
      <c r="HW1041" s="8"/>
      <c r="HX1041" s="8"/>
      <c r="HY1041" s="8"/>
      <c r="HZ1041" s="8"/>
      <c r="IA1041" s="8"/>
      <c r="IB1041" s="8"/>
      <c r="IC1041" s="8"/>
      <c r="ID1041" s="8"/>
      <c r="IE1041" s="8"/>
      <c r="IF1041" s="8"/>
    </row>
    <row r="1042" spans="1:240" ht="30" customHeight="1">
      <c r="A1042" s="5">
        <v>1040</v>
      </c>
      <c r="B1042" s="5"/>
      <c r="C1042" s="5"/>
      <c r="D1042" s="5" t="s">
        <v>68</v>
      </c>
      <c r="E1042" s="5">
        <v>8020</v>
      </c>
      <c r="F1042" s="5">
        <v>8020</v>
      </c>
      <c r="G1042" s="5">
        <v>5150</v>
      </c>
      <c r="H1042" s="5">
        <v>12300</v>
      </c>
      <c r="I1042" s="5" t="s">
        <v>13</v>
      </c>
      <c r="J1042" s="5">
        <f>13000/1000*60</f>
        <v>780</v>
      </c>
      <c r="K1042" s="17">
        <v>5</v>
      </c>
      <c r="L1042" s="5">
        <v>3516.85</v>
      </c>
      <c r="M1042" s="5" t="s">
        <v>48</v>
      </c>
      <c r="N1042" s="5" t="s">
        <v>48</v>
      </c>
      <c r="O1042" s="5">
        <f>5500*60</f>
        <v>330000</v>
      </c>
      <c r="P1042" s="5"/>
      <c r="Q1042" s="5"/>
      <c r="R1042" s="5">
        <v>1</v>
      </c>
      <c r="S1042" s="5">
        <v>3600</v>
      </c>
      <c r="T1042" s="5" t="s">
        <v>48</v>
      </c>
      <c r="U1042" s="5" t="s">
        <v>48</v>
      </c>
      <c r="V1042" s="15">
        <f xml:space="preserve"> 30 * 0.7457</f>
        <v>22.371000000000002</v>
      </c>
      <c r="W1042" s="5" t="s">
        <v>48</v>
      </c>
      <c r="X1042" s="5" t="s">
        <v>65</v>
      </c>
      <c r="Y1042" s="5" t="s">
        <v>48</v>
      </c>
      <c r="Z1042" s="5" t="s">
        <v>48</v>
      </c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  <c r="BY1042" s="8"/>
      <c r="BZ1042" s="8"/>
      <c r="CA1042" s="8"/>
      <c r="CB1042" s="8"/>
      <c r="CC1042" s="8"/>
      <c r="CD1042" s="8"/>
      <c r="CE1042" s="8"/>
      <c r="CF1042" s="8"/>
      <c r="CG1042" s="8"/>
      <c r="CH1042" s="8"/>
      <c r="CI1042" s="8"/>
      <c r="CJ1042" s="8"/>
      <c r="CK1042" s="8"/>
      <c r="CL1042" s="8"/>
      <c r="CM1042" s="8"/>
      <c r="CN1042" s="8"/>
      <c r="CO1042" s="8"/>
      <c r="CP1042" s="8"/>
      <c r="CQ1042" s="8"/>
      <c r="CR1042" s="8"/>
      <c r="CS1042" s="8"/>
      <c r="CT1042" s="8"/>
      <c r="CU1042" s="8"/>
      <c r="CV1042" s="8"/>
      <c r="CW1042" s="8"/>
      <c r="CX1042" s="8"/>
      <c r="CY1042" s="8"/>
      <c r="CZ1042" s="8"/>
      <c r="DA1042" s="8"/>
      <c r="DB1042" s="8"/>
      <c r="DC1042" s="8"/>
      <c r="DD1042" s="8"/>
      <c r="DE1042" s="8"/>
      <c r="DF1042" s="8"/>
      <c r="DG1042" s="8"/>
      <c r="DH1042" s="8"/>
      <c r="DI1042" s="8"/>
      <c r="DJ1042" s="8"/>
      <c r="DK1042" s="8"/>
      <c r="DL1042" s="8"/>
      <c r="DM1042" s="8"/>
      <c r="DN1042" s="8"/>
      <c r="DO1042" s="8"/>
      <c r="DP1042" s="8"/>
      <c r="DQ1042" s="8"/>
      <c r="DR1042" s="8"/>
      <c r="DS1042" s="8"/>
      <c r="DT1042" s="8"/>
      <c r="DU1042" s="8"/>
      <c r="DV1042" s="8"/>
      <c r="DW1042" s="8"/>
      <c r="DX1042" s="8"/>
      <c r="DY1042" s="8"/>
      <c r="DZ1042" s="8"/>
      <c r="EA1042" s="8"/>
      <c r="EB1042" s="8"/>
      <c r="EC1042" s="8"/>
      <c r="ED1042" s="8"/>
      <c r="EE1042" s="8"/>
      <c r="EF1042" s="8"/>
      <c r="EG1042" s="8"/>
      <c r="EH1042" s="8"/>
      <c r="EI1042" s="8"/>
      <c r="EJ1042" s="8"/>
      <c r="EK1042" s="8"/>
      <c r="EL1042" s="8"/>
      <c r="EM1042" s="8"/>
      <c r="EN1042" s="8"/>
      <c r="EO1042" s="8"/>
      <c r="EP1042" s="8"/>
      <c r="EQ1042" s="8"/>
      <c r="ER1042" s="8"/>
      <c r="ES1042" s="8"/>
      <c r="ET1042" s="8"/>
      <c r="EU1042" s="8"/>
      <c r="EV1042" s="8"/>
      <c r="EW1042" s="8"/>
      <c r="EX1042" s="8"/>
      <c r="EY1042" s="8"/>
      <c r="EZ1042" s="8"/>
      <c r="FA1042" s="8"/>
      <c r="FB1042" s="8"/>
      <c r="FC1042" s="8"/>
      <c r="FD1042" s="8"/>
      <c r="FE1042" s="8"/>
      <c r="FF1042" s="8"/>
      <c r="FG1042" s="8"/>
      <c r="FH1042" s="8"/>
      <c r="FI1042" s="8"/>
      <c r="FJ1042" s="8"/>
      <c r="FK1042" s="8"/>
      <c r="FL1042" s="8"/>
      <c r="FM1042" s="8"/>
      <c r="FN1042" s="8"/>
      <c r="FO1042" s="8"/>
      <c r="FP1042" s="8"/>
      <c r="FQ1042" s="8"/>
      <c r="FR1042" s="8"/>
      <c r="FS1042" s="8"/>
      <c r="FT1042" s="8"/>
      <c r="FU1042" s="8"/>
      <c r="FV1042" s="8"/>
      <c r="FW1042" s="8"/>
      <c r="FX1042" s="8"/>
      <c r="FY1042" s="8"/>
      <c r="FZ1042" s="8"/>
      <c r="GA1042" s="8"/>
      <c r="GB1042" s="8"/>
      <c r="GC1042" s="8"/>
      <c r="GD1042" s="8"/>
      <c r="GE1042" s="8"/>
      <c r="GF1042" s="8"/>
      <c r="GG1042" s="8"/>
      <c r="GH1042" s="8"/>
      <c r="GI1042" s="8"/>
      <c r="GJ1042" s="8"/>
      <c r="GK1042" s="8"/>
      <c r="GL1042" s="8"/>
      <c r="GM1042" s="8"/>
      <c r="GN1042" s="8"/>
      <c r="GO1042" s="8"/>
      <c r="GP1042" s="8"/>
      <c r="GQ1042" s="8"/>
      <c r="GR1042" s="8"/>
      <c r="GS1042" s="8"/>
      <c r="GT1042" s="8"/>
      <c r="GU1042" s="8"/>
      <c r="GV1042" s="8"/>
      <c r="GW1042" s="8"/>
      <c r="GX1042" s="8"/>
      <c r="GY1042" s="8"/>
      <c r="GZ1042" s="8"/>
      <c r="HA1042" s="8"/>
      <c r="HB1042" s="8"/>
      <c r="HC1042" s="8"/>
      <c r="HD1042" s="8"/>
      <c r="HE1042" s="8"/>
      <c r="HF1042" s="8"/>
      <c r="HG1042" s="8"/>
      <c r="HH1042" s="8"/>
      <c r="HI1042" s="8"/>
      <c r="HJ1042" s="8"/>
      <c r="HK1042" s="8"/>
      <c r="HL1042" s="8"/>
      <c r="HM1042" s="8"/>
      <c r="HN1042" s="8"/>
      <c r="HO1042" s="8"/>
      <c r="HP1042" s="8"/>
      <c r="HQ1042" s="8"/>
      <c r="HR1042" s="8"/>
      <c r="HS1042" s="8"/>
      <c r="HT1042" s="8"/>
      <c r="HU1042" s="8"/>
      <c r="HV1042" s="8"/>
      <c r="HW1042" s="8"/>
      <c r="HX1042" s="8"/>
      <c r="HY1042" s="8"/>
      <c r="HZ1042" s="8"/>
      <c r="IA1042" s="8"/>
      <c r="IB1042" s="8"/>
      <c r="IC1042" s="8"/>
      <c r="ID1042" s="8"/>
      <c r="IE1042" s="8"/>
      <c r="IF1042" s="8"/>
    </row>
    <row r="1043" spans="1:240" ht="30" customHeight="1">
      <c r="A1043" s="5">
        <v>1041</v>
      </c>
      <c r="B1043" s="5"/>
      <c r="C1043" s="5"/>
      <c r="D1043" s="5" t="s">
        <v>68</v>
      </c>
      <c r="E1043" s="5">
        <v>8200</v>
      </c>
      <c r="F1043" s="5">
        <v>8200</v>
      </c>
      <c r="G1043" s="5">
        <v>5410</v>
      </c>
      <c r="H1043" s="5">
        <v>13200</v>
      </c>
      <c r="I1043" s="5" t="s">
        <v>13</v>
      </c>
      <c r="J1043" s="5">
        <f>15600/1000*60</f>
        <v>936</v>
      </c>
      <c r="K1043" s="17">
        <v>5</v>
      </c>
      <c r="L1043" s="5">
        <v>4396.07</v>
      </c>
      <c r="M1043" s="5" t="s">
        <v>48</v>
      </c>
      <c r="N1043" s="5" t="s">
        <v>48</v>
      </c>
      <c r="O1043" s="5">
        <f>6500*60</f>
        <v>390000</v>
      </c>
      <c r="P1043" s="5"/>
      <c r="Q1043" s="5"/>
      <c r="R1043" s="5">
        <v>1</v>
      </c>
      <c r="S1043" s="5">
        <v>4200</v>
      </c>
      <c r="T1043" s="5" t="s">
        <v>48</v>
      </c>
      <c r="U1043" s="5" t="s">
        <v>48</v>
      </c>
      <c r="V1043" s="15">
        <f xml:space="preserve"> 40 * 0.7457</f>
        <v>29.828000000000003</v>
      </c>
      <c r="W1043" s="5" t="s">
        <v>48</v>
      </c>
      <c r="X1043" s="5" t="s">
        <v>65</v>
      </c>
      <c r="Y1043" s="5" t="s">
        <v>48</v>
      </c>
      <c r="Z1043" s="5" t="s">
        <v>48</v>
      </c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  <c r="BY1043" s="8"/>
      <c r="BZ1043" s="8"/>
      <c r="CA1043" s="8"/>
      <c r="CB1043" s="8"/>
      <c r="CC1043" s="8"/>
      <c r="CD1043" s="8"/>
      <c r="CE1043" s="8"/>
      <c r="CF1043" s="8"/>
      <c r="CG1043" s="8"/>
      <c r="CH1043" s="8"/>
      <c r="CI1043" s="8"/>
      <c r="CJ1043" s="8"/>
      <c r="CK1043" s="8"/>
      <c r="CL1043" s="8"/>
      <c r="CM1043" s="8"/>
      <c r="CN1043" s="8"/>
      <c r="CO1043" s="8"/>
      <c r="CP1043" s="8"/>
      <c r="CQ1043" s="8"/>
      <c r="CR1043" s="8"/>
      <c r="CS1043" s="8"/>
      <c r="CT1043" s="8"/>
      <c r="CU1043" s="8"/>
      <c r="CV1043" s="8"/>
      <c r="CW1043" s="8"/>
      <c r="CX1043" s="8"/>
      <c r="CY1043" s="8"/>
      <c r="CZ1043" s="8"/>
      <c r="DA1043" s="8"/>
      <c r="DB1043" s="8"/>
      <c r="DC1043" s="8"/>
      <c r="DD1043" s="8"/>
      <c r="DE1043" s="8"/>
      <c r="DF1043" s="8"/>
      <c r="DG1043" s="8"/>
      <c r="DH1043" s="8"/>
      <c r="DI1043" s="8"/>
      <c r="DJ1043" s="8"/>
      <c r="DK1043" s="8"/>
      <c r="DL1043" s="8"/>
      <c r="DM1043" s="8"/>
      <c r="DN1043" s="8"/>
      <c r="DO1043" s="8"/>
      <c r="DP1043" s="8"/>
      <c r="DQ1043" s="8"/>
      <c r="DR1043" s="8"/>
      <c r="DS1043" s="8"/>
      <c r="DT1043" s="8"/>
      <c r="DU1043" s="8"/>
      <c r="DV1043" s="8"/>
      <c r="DW1043" s="8"/>
      <c r="DX1043" s="8"/>
      <c r="DY1043" s="8"/>
      <c r="DZ1043" s="8"/>
      <c r="EA1043" s="8"/>
      <c r="EB1043" s="8"/>
      <c r="EC1043" s="8"/>
      <c r="ED1043" s="8"/>
      <c r="EE1043" s="8"/>
      <c r="EF1043" s="8"/>
      <c r="EG1043" s="8"/>
      <c r="EH1043" s="8"/>
      <c r="EI1043" s="8"/>
      <c r="EJ1043" s="8"/>
      <c r="EK1043" s="8"/>
      <c r="EL1043" s="8"/>
      <c r="EM1043" s="8"/>
      <c r="EN1043" s="8"/>
      <c r="EO1043" s="8"/>
      <c r="EP1043" s="8"/>
      <c r="EQ1043" s="8"/>
      <c r="ER1043" s="8"/>
      <c r="ES1043" s="8"/>
      <c r="ET1043" s="8"/>
      <c r="EU1043" s="8"/>
      <c r="EV1043" s="8"/>
      <c r="EW1043" s="8"/>
      <c r="EX1043" s="8"/>
      <c r="EY1043" s="8"/>
      <c r="EZ1043" s="8"/>
      <c r="FA1043" s="8"/>
      <c r="FB1043" s="8"/>
      <c r="FC1043" s="8"/>
      <c r="FD1043" s="8"/>
      <c r="FE1043" s="8"/>
      <c r="FF1043" s="8"/>
      <c r="FG1043" s="8"/>
      <c r="FH1043" s="8"/>
      <c r="FI1043" s="8"/>
      <c r="FJ1043" s="8"/>
      <c r="FK1043" s="8"/>
      <c r="FL1043" s="8"/>
      <c r="FM1043" s="8"/>
      <c r="FN1043" s="8"/>
      <c r="FO1043" s="8"/>
      <c r="FP1043" s="8"/>
      <c r="FQ1043" s="8"/>
      <c r="FR1043" s="8"/>
      <c r="FS1043" s="8"/>
      <c r="FT1043" s="8"/>
      <c r="FU1043" s="8"/>
      <c r="FV1043" s="8"/>
      <c r="FW1043" s="8"/>
      <c r="FX1043" s="8"/>
      <c r="FY1043" s="8"/>
      <c r="FZ1043" s="8"/>
      <c r="GA1043" s="8"/>
      <c r="GB1043" s="8"/>
      <c r="GC1043" s="8"/>
      <c r="GD1043" s="8"/>
      <c r="GE1043" s="8"/>
      <c r="GF1043" s="8"/>
      <c r="GG1043" s="8"/>
      <c r="GH1043" s="8"/>
      <c r="GI1043" s="8"/>
      <c r="GJ1043" s="8"/>
      <c r="GK1043" s="8"/>
      <c r="GL1043" s="8"/>
      <c r="GM1043" s="8"/>
      <c r="GN1043" s="8"/>
      <c r="GO1043" s="8"/>
      <c r="GP1043" s="8"/>
      <c r="GQ1043" s="8"/>
      <c r="GR1043" s="8"/>
      <c r="GS1043" s="8"/>
      <c r="GT1043" s="8"/>
      <c r="GU1043" s="8"/>
      <c r="GV1043" s="8"/>
      <c r="GW1043" s="8"/>
      <c r="GX1043" s="8"/>
      <c r="GY1043" s="8"/>
      <c r="GZ1043" s="8"/>
      <c r="HA1043" s="8"/>
      <c r="HB1043" s="8"/>
      <c r="HC1043" s="8"/>
      <c r="HD1043" s="8"/>
      <c r="HE1043" s="8"/>
      <c r="HF1043" s="8"/>
      <c r="HG1043" s="8"/>
      <c r="HH1043" s="8"/>
      <c r="HI1043" s="8"/>
      <c r="HJ1043" s="8"/>
      <c r="HK1043" s="8"/>
      <c r="HL1043" s="8"/>
      <c r="HM1043" s="8"/>
      <c r="HN1043" s="8"/>
      <c r="HO1043" s="8"/>
      <c r="HP1043" s="8"/>
      <c r="HQ1043" s="8"/>
      <c r="HR1043" s="8"/>
      <c r="HS1043" s="8"/>
      <c r="HT1043" s="8"/>
      <c r="HU1043" s="8"/>
      <c r="HV1043" s="8"/>
      <c r="HW1043" s="8"/>
      <c r="HX1043" s="8"/>
      <c r="HY1043" s="8"/>
      <c r="HZ1043" s="8"/>
      <c r="IA1043" s="8"/>
      <c r="IB1043" s="8"/>
      <c r="IC1043" s="8"/>
      <c r="ID1043" s="8"/>
      <c r="IE1043" s="8"/>
      <c r="IF1043" s="8"/>
    </row>
    <row r="1044" spans="1:240" ht="30" customHeight="1">
      <c r="A1044" s="5">
        <v>1042</v>
      </c>
      <c r="B1044" s="5"/>
      <c r="C1044" s="5"/>
      <c r="D1044" s="5" t="s">
        <v>68</v>
      </c>
      <c r="E1044" s="5">
        <v>8200</v>
      </c>
      <c r="F1044" s="5">
        <v>8200</v>
      </c>
      <c r="G1044" s="5">
        <v>5410</v>
      </c>
      <c r="H1044" s="5">
        <v>14100</v>
      </c>
      <c r="I1044" s="5" t="s">
        <v>13</v>
      </c>
      <c r="J1044" s="5">
        <f>19500/1000*60</f>
        <v>1170</v>
      </c>
      <c r="K1044" s="17">
        <v>5</v>
      </c>
      <c r="L1044" s="5">
        <v>5275.28</v>
      </c>
      <c r="M1044" s="5" t="s">
        <v>48</v>
      </c>
      <c r="N1044" s="5" t="s">
        <v>48</v>
      </c>
      <c r="O1044" s="5">
        <f>8700*60</f>
        <v>522000</v>
      </c>
      <c r="P1044" s="5"/>
      <c r="Q1044" s="5"/>
      <c r="R1044" s="5">
        <v>1</v>
      </c>
      <c r="S1044" s="5">
        <v>4200</v>
      </c>
      <c r="T1044" s="5" t="s">
        <v>48</v>
      </c>
      <c r="U1044" s="5" t="s">
        <v>48</v>
      </c>
      <c r="V1044" s="15">
        <f xml:space="preserve"> 50 * 0.7457</f>
        <v>37.285000000000004</v>
      </c>
      <c r="W1044" s="5" t="s">
        <v>48</v>
      </c>
      <c r="X1044" s="5" t="s">
        <v>66</v>
      </c>
      <c r="Y1044" s="5" t="s">
        <v>48</v>
      </c>
      <c r="Z1044" s="5" t="s">
        <v>48</v>
      </c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  <c r="BY1044" s="8"/>
      <c r="BZ1044" s="8"/>
      <c r="CA1044" s="8"/>
      <c r="CB1044" s="8"/>
      <c r="CC1044" s="8"/>
      <c r="CD1044" s="8"/>
      <c r="CE1044" s="8"/>
      <c r="CF1044" s="8"/>
      <c r="CG1044" s="8"/>
      <c r="CH1044" s="8"/>
      <c r="CI1044" s="8"/>
      <c r="CJ1044" s="8"/>
      <c r="CK1044" s="8"/>
      <c r="CL1044" s="8"/>
      <c r="CM1044" s="8"/>
      <c r="CN1044" s="8"/>
      <c r="CO1044" s="8"/>
      <c r="CP1044" s="8"/>
      <c r="CQ1044" s="8"/>
      <c r="CR1044" s="8"/>
      <c r="CS1044" s="8"/>
      <c r="CT1044" s="8"/>
      <c r="CU1044" s="8"/>
      <c r="CV1044" s="8"/>
      <c r="CW1044" s="8"/>
      <c r="CX1044" s="8"/>
      <c r="CY1044" s="8"/>
      <c r="CZ1044" s="8"/>
      <c r="DA1044" s="8"/>
      <c r="DB1044" s="8"/>
      <c r="DC1044" s="8"/>
      <c r="DD1044" s="8"/>
      <c r="DE1044" s="8"/>
      <c r="DF1044" s="8"/>
      <c r="DG1044" s="8"/>
      <c r="DH1044" s="8"/>
      <c r="DI1044" s="8"/>
      <c r="DJ1044" s="8"/>
      <c r="DK1044" s="8"/>
      <c r="DL1044" s="8"/>
      <c r="DM1044" s="8"/>
      <c r="DN1044" s="8"/>
      <c r="DO1044" s="8"/>
      <c r="DP1044" s="8"/>
      <c r="DQ1044" s="8"/>
      <c r="DR1044" s="8"/>
      <c r="DS1044" s="8"/>
      <c r="DT1044" s="8"/>
      <c r="DU1044" s="8"/>
      <c r="DV1044" s="8"/>
      <c r="DW1044" s="8"/>
      <c r="DX1044" s="8"/>
      <c r="DY1044" s="8"/>
      <c r="DZ1044" s="8"/>
      <c r="EA1044" s="8"/>
      <c r="EB1044" s="8"/>
      <c r="EC1044" s="8"/>
      <c r="ED1044" s="8"/>
      <c r="EE1044" s="8"/>
      <c r="EF1044" s="8"/>
      <c r="EG1044" s="8"/>
      <c r="EH1044" s="8"/>
      <c r="EI1044" s="8"/>
      <c r="EJ1044" s="8"/>
      <c r="EK1044" s="8"/>
      <c r="EL1044" s="8"/>
      <c r="EM1044" s="8"/>
      <c r="EN1044" s="8"/>
      <c r="EO1044" s="8"/>
      <c r="EP1044" s="8"/>
      <c r="EQ1044" s="8"/>
      <c r="ER1044" s="8"/>
      <c r="ES1044" s="8"/>
      <c r="ET1044" s="8"/>
      <c r="EU1044" s="8"/>
      <c r="EV1044" s="8"/>
      <c r="EW1044" s="8"/>
      <c r="EX1044" s="8"/>
      <c r="EY1044" s="8"/>
      <c r="EZ1044" s="8"/>
      <c r="FA1044" s="8"/>
      <c r="FB1044" s="8"/>
      <c r="FC1044" s="8"/>
      <c r="FD1044" s="8"/>
      <c r="FE1044" s="8"/>
      <c r="FF1044" s="8"/>
      <c r="FG1044" s="8"/>
      <c r="FH1044" s="8"/>
      <c r="FI1044" s="8"/>
      <c r="FJ1044" s="8"/>
      <c r="FK1044" s="8"/>
      <c r="FL1044" s="8"/>
      <c r="FM1044" s="8"/>
      <c r="FN1044" s="8"/>
      <c r="FO1044" s="8"/>
      <c r="FP1044" s="8"/>
      <c r="FQ1044" s="8"/>
      <c r="FR1044" s="8"/>
      <c r="FS1044" s="8"/>
      <c r="FT1044" s="8"/>
      <c r="FU1044" s="8"/>
      <c r="FV1044" s="8"/>
      <c r="FW1044" s="8"/>
      <c r="FX1044" s="8"/>
      <c r="FY1044" s="8"/>
      <c r="FZ1044" s="8"/>
      <c r="GA1044" s="8"/>
      <c r="GB1044" s="8"/>
      <c r="GC1044" s="8"/>
      <c r="GD1044" s="8"/>
      <c r="GE1044" s="8"/>
      <c r="GF1044" s="8"/>
      <c r="GG1044" s="8"/>
      <c r="GH1044" s="8"/>
      <c r="GI1044" s="8"/>
      <c r="GJ1044" s="8"/>
      <c r="GK1044" s="8"/>
      <c r="GL1044" s="8"/>
      <c r="GM1044" s="8"/>
      <c r="GN1044" s="8"/>
      <c r="GO1044" s="8"/>
      <c r="GP1044" s="8"/>
      <c r="GQ1044" s="8"/>
      <c r="GR1044" s="8"/>
      <c r="GS1044" s="8"/>
      <c r="GT1044" s="8"/>
      <c r="GU1044" s="8"/>
      <c r="GV1044" s="8"/>
      <c r="GW1044" s="8"/>
      <c r="GX1044" s="8"/>
      <c r="GY1044" s="8"/>
      <c r="GZ1044" s="8"/>
      <c r="HA1044" s="8"/>
      <c r="HB1044" s="8"/>
      <c r="HC1044" s="8"/>
      <c r="HD1044" s="8"/>
      <c r="HE1044" s="8"/>
      <c r="HF1044" s="8"/>
      <c r="HG1044" s="8"/>
      <c r="HH1044" s="8"/>
      <c r="HI1044" s="8"/>
      <c r="HJ1044" s="8"/>
      <c r="HK1044" s="8"/>
      <c r="HL1044" s="8"/>
      <c r="HM1044" s="8"/>
      <c r="HN1044" s="8"/>
      <c r="HO1044" s="8"/>
      <c r="HP1044" s="8"/>
      <c r="HQ1044" s="8"/>
      <c r="HR1044" s="8"/>
      <c r="HS1044" s="8"/>
      <c r="HT1044" s="8"/>
      <c r="HU1044" s="8"/>
      <c r="HV1044" s="8"/>
      <c r="HW1044" s="8"/>
      <c r="HX1044" s="8"/>
      <c r="HY1044" s="8"/>
      <c r="HZ1044" s="8"/>
      <c r="IA1044" s="8"/>
      <c r="IB1044" s="8"/>
      <c r="IC1044" s="8"/>
      <c r="ID1044" s="8"/>
      <c r="IE1044" s="8"/>
      <c r="IF1044" s="8"/>
    </row>
    <row r="1045" spans="1:240" ht="30" customHeight="1">
      <c r="A1045" s="5">
        <v>1043</v>
      </c>
      <c r="B1045" s="5"/>
      <c r="C1045" s="5"/>
      <c r="D1045" s="5" t="s">
        <v>68</v>
      </c>
      <c r="E1045" s="5" t="e">
        <f>33.5*#REF!</f>
        <v>#REF!</v>
      </c>
      <c r="F1045" s="5" t="s">
        <v>48</v>
      </c>
      <c r="G1045" s="5" t="e">
        <f>52*#REF!</f>
        <v>#REF!</v>
      </c>
      <c r="H1045" s="15">
        <f>251*0.454</f>
        <v>113.95400000000001</v>
      </c>
      <c r="I1045" s="5" t="s">
        <v>13</v>
      </c>
      <c r="J1045" s="15">
        <f>15/4.4</f>
        <v>3.4090909090909087</v>
      </c>
      <c r="K1045" s="15">
        <f>35-29.444</f>
        <v>5.5560000000000009</v>
      </c>
      <c r="L1045" s="5">
        <v>17.579999999999998</v>
      </c>
      <c r="M1045" s="15">
        <f>29.444-23.889</f>
        <v>5.5549999999999997</v>
      </c>
      <c r="N1045" s="5" t="s">
        <v>48</v>
      </c>
      <c r="O1045" s="15">
        <f>2118*1.6978</f>
        <v>3595.9404</v>
      </c>
      <c r="P1045" s="5"/>
      <c r="Q1045" s="5"/>
      <c r="R1045" s="5">
        <v>1</v>
      </c>
      <c r="S1045" s="5" t="e">
        <f>19.5*#REF!</f>
        <v>#REF!</v>
      </c>
      <c r="T1045" s="5" t="s">
        <v>48</v>
      </c>
      <c r="U1045" s="5" t="s">
        <v>48</v>
      </c>
      <c r="V1045" s="15">
        <f>1/6*0.7457</f>
        <v>0.12428333333333333</v>
      </c>
      <c r="W1045" s="5" t="s">
        <v>86</v>
      </c>
      <c r="X1045" s="5" t="s">
        <v>48</v>
      </c>
      <c r="Y1045" s="5" t="s">
        <v>48</v>
      </c>
      <c r="Z1045" s="5" t="s">
        <v>48</v>
      </c>
      <c r="AA1045" s="5"/>
      <c r="AB1045" s="5"/>
      <c r="AC1045" s="5"/>
      <c r="AD1045" s="5"/>
      <c r="AE1045" s="5"/>
      <c r="AF1045" s="5"/>
      <c r="AG1045" s="5"/>
      <c r="AH1045" s="16">
        <f>1383 *0.7705</f>
        <v>1065.6015</v>
      </c>
      <c r="AI1045" s="16" t="s">
        <v>68</v>
      </c>
      <c r="AJ1045" s="16"/>
      <c r="AK1045" s="16"/>
      <c r="AL1045" s="16"/>
      <c r="AM1045" s="16">
        <f>AH1045+114*0.7705</f>
        <v>1153.4385</v>
      </c>
      <c r="AN1045" s="5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  <c r="BY1045" s="8"/>
      <c r="BZ1045" s="8"/>
      <c r="CA1045" s="8"/>
      <c r="CB1045" s="8"/>
      <c r="CC1045" s="8"/>
      <c r="CD1045" s="8"/>
      <c r="CE1045" s="8"/>
      <c r="CF1045" s="8"/>
      <c r="CG1045" s="8"/>
      <c r="CH1045" s="8"/>
      <c r="CI1045" s="8"/>
      <c r="CJ1045" s="8"/>
      <c r="CK1045" s="8"/>
      <c r="CL1045" s="8"/>
      <c r="CM1045" s="8"/>
      <c r="CN1045" s="8"/>
      <c r="CO1045" s="8"/>
      <c r="CP1045" s="8"/>
      <c r="CQ1045" s="8"/>
      <c r="CR1045" s="8"/>
      <c r="CS1045" s="8"/>
      <c r="CT1045" s="8"/>
      <c r="CU1045" s="8"/>
      <c r="CV1045" s="8"/>
      <c r="CW1045" s="8"/>
      <c r="CX1045" s="8"/>
      <c r="CY1045" s="8"/>
      <c r="CZ1045" s="8"/>
      <c r="DA1045" s="8"/>
      <c r="DB1045" s="8"/>
      <c r="DC1045" s="8"/>
      <c r="DD1045" s="8"/>
      <c r="DE1045" s="8"/>
      <c r="DF1045" s="8"/>
      <c r="DG1045" s="8"/>
      <c r="DH1045" s="8"/>
      <c r="DI1045" s="8"/>
      <c r="DJ1045" s="8"/>
      <c r="DK1045" s="8"/>
      <c r="DL1045" s="8"/>
      <c r="DM1045" s="8"/>
      <c r="DN1045" s="8"/>
      <c r="DO1045" s="8"/>
      <c r="DP1045" s="8"/>
      <c r="DQ1045" s="8"/>
      <c r="DR1045" s="8"/>
      <c r="DS1045" s="8"/>
      <c r="DT1045" s="8"/>
      <c r="DU1045" s="8"/>
      <c r="DV1045" s="8"/>
      <c r="DW1045" s="8"/>
      <c r="DX1045" s="8"/>
      <c r="DY1045" s="8"/>
      <c r="DZ1045" s="8"/>
      <c r="EA1045" s="8"/>
      <c r="EB1045" s="8"/>
      <c r="EC1045" s="8"/>
      <c r="ED1045" s="8"/>
      <c r="EE1045" s="8"/>
      <c r="EF1045" s="8"/>
      <c r="EG1045" s="8"/>
      <c r="EH1045" s="8"/>
      <c r="EI1045" s="8"/>
      <c r="EJ1045" s="8"/>
      <c r="EK1045" s="8"/>
      <c r="EL1045" s="8"/>
      <c r="EM1045" s="8"/>
      <c r="EN1045" s="8"/>
      <c r="EO1045" s="8"/>
      <c r="EP1045" s="8"/>
      <c r="EQ1045" s="8"/>
      <c r="ER1045" s="8"/>
      <c r="ES1045" s="8"/>
      <c r="ET1045" s="8"/>
      <c r="EU1045" s="8"/>
      <c r="EV1045" s="8"/>
      <c r="EW1045" s="8"/>
      <c r="EX1045" s="8"/>
      <c r="EY1045" s="8"/>
      <c r="EZ1045" s="8"/>
      <c r="FA1045" s="8"/>
      <c r="FB1045" s="8"/>
      <c r="FC1045" s="8"/>
      <c r="FD1045" s="8"/>
      <c r="FE1045" s="8"/>
      <c r="FF1045" s="8"/>
      <c r="FG1045" s="8"/>
      <c r="FH1045" s="8"/>
      <c r="FI1045" s="8"/>
      <c r="FJ1045" s="8"/>
      <c r="FK1045" s="8"/>
      <c r="FL1045" s="8"/>
      <c r="FM1045" s="8"/>
      <c r="FN1045" s="8"/>
      <c r="FO1045" s="8"/>
      <c r="FP1045" s="8"/>
      <c r="FQ1045" s="8"/>
      <c r="FR1045" s="8"/>
      <c r="FS1045" s="8"/>
      <c r="FT1045" s="8"/>
      <c r="FU1045" s="8"/>
      <c r="FV1045" s="8"/>
      <c r="FW1045" s="8"/>
      <c r="FX1045" s="8"/>
      <c r="FY1045" s="8"/>
      <c r="FZ1045" s="8"/>
      <c r="GA1045" s="8"/>
      <c r="GB1045" s="8"/>
      <c r="GC1045" s="8"/>
      <c r="GD1045" s="8"/>
      <c r="GE1045" s="8"/>
      <c r="GF1045" s="8"/>
      <c r="GG1045" s="8"/>
      <c r="GH1045" s="8"/>
      <c r="GI1045" s="8"/>
      <c r="GJ1045" s="8"/>
      <c r="GK1045" s="8"/>
      <c r="GL1045" s="8"/>
      <c r="GM1045" s="8"/>
      <c r="GN1045" s="8"/>
      <c r="GO1045" s="8"/>
      <c r="GP1045" s="8"/>
      <c r="GQ1045" s="8"/>
      <c r="GR1045" s="8"/>
      <c r="GS1045" s="8"/>
      <c r="GT1045" s="8"/>
      <c r="GU1045" s="8"/>
      <c r="GV1045" s="8"/>
      <c r="GW1045" s="8"/>
      <c r="GX1045" s="8"/>
      <c r="GY1045" s="8"/>
      <c r="GZ1045" s="8"/>
      <c r="HA1045" s="8"/>
      <c r="HB1045" s="8"/>
      <c r="HC1045" s="8"/>
      <c r="HD1045" s="8"/>
      <c r="HE1045" s="8"/>
      <c r="HF1045" s="8"/>
      <c r="HG1045" s="8"/>
      <c r="HH1045" s="8"/>
      <c r="HI1045" s="8"/>
      <c r="HJ1045" s="8"/>
      <c r="HK1045" s="8"/>
      <c r="HL1045" s="8"/>
      <c r="HM1045" s="8"/>
      <c r="HN1045" s="8"/>
      <c r="HO1045" s="8"/>
      <c r="HP1045" s="8"/>
      <c r="HQ1045" s="8"/>
      <c r="HR1045" s="8"/>
      <c r="HS1045" s="8"/>
      <c r="HT1045" s="8"/>
      <c r="HU1045" s="8"/>
      <c r="HV1045" s="8"/>
      <c r="HW1045" s="8"/>
      <c r="HX1045" s="8"/>
      <c r="HY1045" s="8"/>
      <c r="HZ1045" s="8"/>
      <c r="IA1045" s="8"/>
      <c r="IB1045" s="8"/>
      <c r="IC1045" s="8"/>
      <c r="ID1045" s="8"/>
      <c r="IE1045" s="8"/>
      <c r="IF1045" s="8"/>
    </row>
    <row r="1046" spans="1:240" ht="30" customHeight="1">
      <c r="A1046" s="5">
        <v>1044</v>
      </c>
      <c r="B1046" s="5"/>
      <c r="C1046" s="5"/>
      <c r="D1046" s="5" t="s">
        <v>68</v>
      </c>
      <c r="E1046" s="5" t="e">
        <f>33.5*#REF!</f>
        <v>#REF!</v>
      </c>
      <c r="F1046" s="5" t="s">
        <v>48</v>
      </c>
      <c r="G1046" s="5" t="e">
        <f>56*#REF!</f>
        <v>#REF!</v>
      </c>
      <c r="H1046" s="15">
        <f>262*0.454</f>
        <v>118.94800000000001</v>
      </c>
      <c r="I1046" s="5" t="s">
        <v>13</v>
      </c>
      <c r="J1046" s="15">
        <f>23/4.4</f>
        <v>5.2272727272727266</v>
      </c>
      <c r="K1046" s="15">
        <f t="shared" ref="K1046:K1109" si="29">35-29.444</f>
        <v>5.5560000000000009</v>
      </c>
      <c r="L1046" s="5">
        <v>28.13</v>
      </c>
      <c r="M1046" s="15">
        <f t="shared" ref="M1046:M1099" si="30">29.444-23.889</f>
        <v>5.5549999999999997</v>
      </c>
      <c r="N1046" s="5" t="s">
        <v>48</v>
      </c>
      <c r="O1046" s="15">
        <f>2648*1.6978</f>
        <v>4495.7744000000002</v>
      </c>
      <c r="P1046" s="5"/>
      <c r="Q1046" s="5"/>
      <c r="R1046" s="5">
        <v>1</v>
      </c>
      <c r="S1046" s="5" t="e">
        <f>19.5*#REF!</f>
        <v>#REF!</v>
      </c>
      <c r="T1046" s="5" t="s">
        <v>48</v>
      </c>
      <c r="U1046" s="5" t="s">
        <v>48</v>
      </c>
      <c r="V1046" s="15">
        <f>1/6*0.7457</f>
        <v>0.12428333333333333</v>
      </c>
      <c r="W1046" s="5" t="s">
        <v>86</v>
      </c>
      <c r="X1046" s="5" t="s">
        <v>48</v>
      </c>
      <c r="Y1046" s="5" t="s">
        <v>48</v>
      </c>
      <c r="Z1046" s="5" t="s">
        <v>48</v>
      </c>
      <c r="AA1046" s="5"/>
      <c r="AB1046" s="5"/>
      <c r="AC1046" s="5"/>
      <c r="AD1046" s="5"/>
      <c r="AE1046" s="5"/>
      <c r="AF1046" s="5"/>
      <c r="AG1046" s="5"/>
      <c r="AH1046" s="16">
        <f>1456* 0.7705</f>
        <v>1121.848</v>
      </c>
      <c r="AI1046" s="16" t="s">
        <v>68</v>
      </c>
      <c r="AJ1046" s="16"/>
      <c r="AK1046" s="16"/>
      <c r="AL1046" s="16"/>
      <c r="AM1046" s="16">
        <f>AH1046+114*0.7705</f>
        <v>1209.6849999999999</v>
      </c>
      <c r="AN1046" s="5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  <c r="BY1046" s="8"/>
      <c r="BZ1046" s="8"/>
      <c r="CA1046" s="8"/>
      <c r="CB1046" s="8"/>
      <c r="CC1046" s="8"/>
      <c r="CD1046" s="8"/>
      <c r="CE1046" s="8"/>
      <c r="CF1046" s="8"/>
      <c r="CG1046" s="8"/>
      <c r="CH1046" s="8"/>
      <c r="CI1046" s="8"/>
      <c r="CJ1046" s="8"/>
      <c r="CK1046" s="8"/>
      <c r="CL1046" s="8"/>
      <c r="CM1046" s="8"/>
      <c r="CN1046" s="8"/>
      <c r="CO1046" s="8"/>
      <c r="CP1046" s="8"/>
      <c r="CQ1046" s="8"/>
      <c r="CR1046" s="8"/>
      <c r="CS1046" s="8"/>
      <c r="CT1046" s="8"/>
      <c r="CU1046" s="8"/>
      <c r="CV1046" s="8"/>
      <c r="CW1046" s="8"/>
      <c r="CX1046" s="8"/>
      <c r="CY1046" s="8"/>
      <c r="CZ1046" s="8"/>
      <c r="DA1046" s="8"/>
      <c r="DB1046" s="8"/>
      <c r="DC1046" s="8"/>
      <c r="DD1046" s="8"/>
      <c r="DE1046" s="8"/>
      <c r="DF1046" s="8"/>
      <c r="DG1046" s="8"/>
      <c r="DH1046" s="8"/>
      <c r="DI1046" s="8"/>
      <c r="DJ1046" s="8"/>
      <c r="DK1046" s="8"/>
      <c r="DL1046" s="8"/>
      <c r="DM1046" s="8"/>
      <c r="DN1046" s="8"/>
      <c r="DO1046" s="8"/>
      <c r="DP1046" s="8"/>
      <c r="DQ1046" s="8"/>
      <c r="DR1046" s="8"/>
      <c r="DS1046" s="8"/>
      <c r="DT1046" s="8"/>
      <c r="DU1046" s="8"/>
      <c r="DV1046" s="8"/>
      <c r="DW1046" s="8"/>
      <c r="DX1046" s="8"/>
      <c r="DY1046" s="8"/>
      <c r="DZ1046" s="8"/>
      <c r="EA1046" s="8"/>
      <c r="EB1046" s="8"/>
      <c r="EC1046" s="8"/>
      <c r="ED1046" s="8"/>
      <c r="EE1046" s="8"/>
      <c r="EF1046" s="8"/>
      <c r="EG1046" s="8"/>
      <c r="EH1046" s="8"/>
      <c r="EI1046" s="8"/>
      <c r="EJ1046" s="8"/>
      <c r="EK1046" s="8"/>
      <c r="EL1046" s="8"/>
      <c r="EM1046" s="8"/>
      <c r="EN1046" s="8"/>
      <c r="EO1046" s="8"/>
      <c r="EP1046" s="8"/>
      <c r="EQ1046" s="8"/>
      <c r="ER1046" s="8"/>
      <c r="ES1046" s="8"/>
      <c r="ET1046" s="8"/>
      <c r="EU1046" s="8"/>
      <c r="EV1046" s="8"/>
      <c r="EW1046" s="8"/>
      <c r="EX1046" s="8"/>
      <c r="EY1046" s="8"/>
      <c r="EZ1046" s="8"/>
      <c r="FA1046" s="8"/>
      <c r="FB1046" s="8"/>
      <c r="FC1046" s="8"/>
      <c r="FD1046" s="8"/>
      <c r="FE1046" s="8"/>
      <c r="FF1046" s="8"/>
      <c r="FG1046" s="8"/>
      <c r="FH1046" s="8"/>
      <c r="FI1046" s="8"/>
      <c r="FJ1046" s="8"/>
      <c r="FK1046" s="8"/>
      <c r="FL1046" s="8"/>
      <c r="FM1046" s="8"/>
      <c r="FN1046" s="8"/>
      <c r="FO1046" s="8"/>
      <c r="FP1046" s="8"/>
      <c r="FQ1046" s="8"/>
      <c r="FR1046" s="8"/>
      <c r="FS1046" s="8"/>
      <c r="FT1046" s="8"/>
      <c r="FU1046" s="8"/>
      <c r="FV1046" s="8"/>
      <c r="FW1046" s="8"/>
      <c r="FX1046" s="8"/>
      <c r="FY1046" s="8"/>
      <c r="FZ1046" s="8"/>
      <c r="GA1046" s="8"/>
      <c r="GB1046" s="8"/>
      <c r="GC1046" s="8"/>
      <c r="GD1046" s="8"/>
      <c r="GE1046" s="8"/>
      <c r="GF1046" s="8"/>
      <c r="GG1046" s="8"/>
      <c r="GH1046" s="8"/>
      <c r="GI1046" s="8"/>
      <c r="GJ1046" s="8"/>
      <c r="GK1046" s="8"/>
      <c r="GL1046" s="8"/>
      <c r="GM1046" s="8"/>
      <c r="GN1046" s="8"/>
      <c r="GO1046" s="8"/>
      <c r="GP1046" s="8"/>
      <c r="GQ1046" s="8"/>
      <c r="GR1046" s="8"/>
      <c r="GS1046" s="8"/>
      <c r="GT1046" s="8"/>
      <c r="GU1046" s="8"/>
      <c r="GV1046" s="8"/>
      <c r="GW1046" s="8"/>
      <c r="GX1046" s="8"/>
      <c r="GY1046" s="8"/>
      <c r="GZ1046" s="8"/>
      <c r="HA1046" s="8"/>
      <c r="HB1046" s="8"/>
      <c r="HC1046" s="8"/>
      <c r="HD1046" s="8"/>
      <c r="HE1046" s="8"/>
      <c r="HF1046" s="8"/>
      <c r="HG1046" s="8"/>
      <c r="HH1046" s="8"/>
      <c r="HI1046" s="8"/>
      <c r="HJ1046" s="8"/>
      <c r="HK1046" s="8"/>
      <c r="HL1046" s="8"/>
      <c r="HM1046" s="8"/>
      <c r="HN1046" s="8"/>
      <c r="HO1046" s="8"/>
      <c r="HP1046" s="8"/>
      <c r="HQ1046" s="8"/>
      <c r="HR1046" s="8"/>
      <c r="HS1046" s="8"/>
      <c r="HT1046" s="8"/>
      <c r="HU1046" s="8"/>
      <c r="HV1046" s="8"/>
      <c r="HW1046" s="8"/>
      <c r="HX1046" s="8"/>
      <c r="HY1046" s="8"/>
      <c r="HZ1046" s="8"/>
      <c r="IA1046" s="8"/>
      <c r="IB1046" s="8"/>
      <c r="IC1046" s="8"/>
      <c r="ID1046" s="8"/>
      <c r="IE1046" s="8"/>
      <c r="IF1046" s="8"/>
    </row>
    <row r="1047" spans="1:240" ht="30" customHeight="1">
      <c r="A1047" s="5">
        <v>1045</v>
      </c>
      <c r="B1047" s="5"/>
      <c r="C1047" s="5"/>
      <c r="D1047" s="5" t="s">
        <v>68</v>
      </c>
      <c r="E1047" s="5" t="e">
        <f>41.75*#REF!</f>
        <v>#REF!</v>
      </c>
      <c r="F1047" s="5" t="s">
        <v>48</v>
      </c>
      <c r="G1047" s="5" t="e">
        <f>54*#REF!</f>
        <v>#REF!</v>
      </c>
      <c r="H1047" s="15">
        <f>443*0.454</f>
        <v>201.12200000000001</v>
      </c>
      <c r="I1047" s="5" t="s">
        <v>13</v>
      </c>
      <c r="J1047" s="15">
        <f>30/4.4</f>
        <v>6.8181818181818175</v>
      </c>
      <c r="K1047" s="15">
        <f t="shared" si="29"/>
        <v>5.5560000000000009</v>
      </c>
      <c r="L1047" s="5">
        <v>35.17</v>
      </c>
      <c r="M1047" s="15">
        <f t="shared" si="30"/>
        <v>5.5549999999999997</v>
      </c>
      <c r="N1047" s="5" t="s">
        <v>48</v>
      </c>
      <c r="O1047" s="15">
        <f>3531*1.6978</f>
        <v>5994.9318000000003</v>
      </c>
      <c r="P1047" s="5"/>
      <c r="Q1047" s="5"/>
      <c r="R1047" s="5">
        <v>1</v>
      </c>
      <c r="S1047" s="5" t="e">
        <f>26.375*#REF!</f>
        <v>#REF!</v>
      </c>
      <c r="T1047" s="5" t="s">
        <v>48</v>
      </c>
      <c r="U1047" s="5" t="s">
        <v>48</v>
      </c>
      <c r="V1047" s="15">
        <f>1/4*0.7457</f>
        <v>0.18642500000000001</v>
      </c>
      <c r="W1047" s="5" t="s">
        <v>86</v>
      </c>
      <c r="X1047" s="5" t="s">
        <v>48</v>
      </c>
      <c r="Y1047" s="5" t="s">
        <v>48</v>
      </c>
      <c r="Z1047" s="5" t="s">
        <v>48</v>
      </c>
      <c r="AA1047" s="5"/>
      <c r="AB1047" s="5"/>
      <c r="AC1047" s="5"/>
      <c r="AD1047" s="5"/>
      <c r="AE1047" s="5"/>
      <c r="AF1047" s="5"/>
      <c r="AG1047" s="5"/>
      <c r="AH1047" s="16">
        <f xml:space="preserve"> 1822*0.7705</f>
        <v>1403.8509999999999</v>
      </c>
      <c r="AI1047" s="16" t="s">
        <v>68</v>
      </c>
      <c r="AJ1047" s="16"/>
      <c r="AK1047" s="16"/>
      <c r="AL1047" s="16"/>
      <c r="AM1047" s="16">
        <f>AH1047+114*0.7705</f>
        <v>1491.6879999999999</v>
      </c>
      <c r="AN1047" s="5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  <c r="BY1047" s="8"/>
      <c r="BZ1047" s="8"/>
      <c r="CA1047" s="8"/>
      <c r="CB1047" s="8"/>
      <c r="CC1047" s="8"/>
      <c r="CD1047" s="8"/>
      <c r="CE1047" s="8"/>
      <c r="CF1047" s="8"/>
      <c r="CG1047" s="8"/>
      <c r="CH1047" s="8"/>
      <c r="CI1047" s="8"/>
      <c r="CJ1047" s="8"/>
      <c r="CK1047" s="8"/>
      <c r="CL1047" s="8"/>
      <c r="CM1047" s="8"/>
      <c r="CN1047" s="8"/>
      <c r="CO1047" s="8"/>
      <c r="CP1047" s="8"/>
      <c r="CQ1047" s="8"/>
      <c r="CR1047" s="8"/>
      <c r="CS1047" s="8"/>
      <c r="CT1047" s="8"/>
      <c r="CU1047" s="8"/>
      <c r="CV1047" s="8"/>
      <c r="CW1047" s="8"/>
      <c r="CX1047" s="8"/>
      <c r="CY1047" s="8"/>
      <c r="CZ1047" s="8"/>
      <c r="DA1047" s="8"/>
      <c r="DB1047" s="8"/>
      <c r="DC1047" s="8"/>
      <c r="DD1047" s="8"/>
      <c r="DE1047" s="8"/>
      <c r="DF1047" s="8"/>
      <c r="DG1047" s="8"/>
      <c r="DH1047" s="8"/>
      <c r="DI1047" s="8"/>
      <c r="DJ1047" s="8"/>
      <c r="DK1047" s="8"/>
      <c r="DL1047" s="8"/>
      <c r="DM1047" s="8"/>
      <c r="DN1047" s="8"/>
      <c r="DO1047" s="8"/>
      <c r="DP1047" s="8"/>
      <c r="DQ1047" s="8"/>
      <c r="DR1047" s="8"/>
      <c r="DS1047" s="8"/>
      <c r="DT1047" s="8"/>
      <c r="DU1047" s="8"/>
      <c r="DV1047" s="8"/>
      <c r="DW1047" s="8"/>
      <c r="DX1047" s="8"/>
      <c r="DY1047" s="8"/>
      <c r="DZ1047" s="8"/>
      <c r="EA1047" s="8"/>
      <c r="EB1047" s="8"/>
      <c r="EC1047" s="8"/>
      <c r="ED1047" s="8"/>
      <c r="EE1047" s="8"/>
      <c r="EF1047" s="8"/>
      <c r="EG1047" s="8"/>
      <c r="EH1047" s="8"/>
      <c r="EI1047" s="8"/>
      <c r="EJ1047" s="8"/>
      <c r="EK1047" s="8"/>
      <c r="EL1047" s="8"/>
      <c r="EM1047" s="8"/>
      <c r="EN1047" s="8"/>
      <c r="EO1047" s="8"/>
      <c r="EP1047" s="8"/>
      <c r="EQ1047" s="8"/>
      <c r="ER1047" s="8"/>
      <c r="ES1047" s="8"/>
      <c r="ET1047" s="8"/>
      <c r="EU1047" s="8"/>
      <c r="EV1047" s="8"/>
      <c r="EW1047" s="8"/>
      <c r="EX1047" s="8"/>
      <c r="EY1047" s="8"/>
      <c r="EZ1047" s="8"/>
      <c r="FA1047" s="8"/>
      <c r="FB1047" s="8"/>
      <c r="FC1047" s="8"/>
      <c r="FD1047" s="8"/>
      <c r="FE1047" s="8"/>
      <c r="FF1047" s="8"/>
      <c r="FG1047" s="8"/>
      <c r="FH1047" s="8"/>
      <c r="FI1047" s="8"/>
      <c r="FJ1047" s="8"/>
      <c r="FK1047" s="8"/>
      <c r="FL1047" s="8"/>
      <c r="FM1047" s="8"/>
      <c r="FN1047" s="8"/>
      <c r="FO1047" s="8"/>
      <c r="FP1047" s="8"/>
      <c r="FQ1047" s="8"/>
      <c r="FR1047" s="8"/>
      <c r="FS1047" s="8"/>
      <c r="FT1047" s="8"/>
      <c r="FU1047" s="8"/>
      <c r="FV1047" s="8"/>
      <c r="FW1047" s="8"/>
      <c r="FX1047" s="8"/>
      <c r="FY1047" s="8"/>
      <c r="FZ1047" s="8"/>
      <c r="GA1047" s="8"/>
      <c r="GB1047" s="8"/>
      <c r="GC1047" s="8"/>
      <c r="GD1047" s="8"/>
      <c r="GE1047" s="8"/>
      <c r="GF1047" s="8"/>
      <c r="GG1047" s="8"/>
      <c r="GH1047" s="8"/>
      <c r="GI1047" s="8"/>
      <c r="GJ1047" s="8"/>
      <c r="GK1047" s="8"/>
      <c r="GL1047" s="8"/>
      <c r="GM1047" s="8"/>
      <c r="GN1047" s="8"/>
      <c r="GO1047" s="8"/>
      <c r="GP1047" s="8"/>
      <c r="GQ1047" s="8"/>
      <c r="GR1047" s="8"/>
      <c r="GS1047" s="8"/>
      <c r="GT1047" s="8"/>
      <c r="GU1047" s="8"/>
      <c r="GV1047" s="8"/>
      <c r="GW1047" s="8"/>
      <c r="GX1047" s="8"/>
      <c r="GY1047" s="8"/>
      <c r="GZ1047" s="8"/>
      <c r="HA1047" s="8"/>
      <c r="HB1047" s="8"/>
      <c r="HC1047" s="8"/>
      <c r="HD1047" s="8"/>
      <c r="HE1047" s="8"/>
      <c r="HF1047" s="8"/>
      <c r="HG1047" s="8"/>
      <c r="HH1047" s="8"/>
      <c r="HI1047" s="8"/>
      <c r="HJ1047" s="8"/>
      <c r="HK1047" s="8"/>
      <c r="HL1047" s="8"/>
      <c r="HM1047" s="8"/>
      <c r="HN1047" s="8"/>
      <c r="HO1047" s="8"/>
      <c r="HP1047" s="8"/>
      <c r="HQ1047" s="8"/>
      <c r="HR1047" s="8"/>
      <c r="HS1047" s="8"/>
      <c r="HT1047" s="8"/>
      <c r="HU1047" s="8"/>
      <c r="HV1047" s="8"/>
      <c r="HW1047" s="8"/>
      <c r="HX1047" s="8"/>
      <c r="HY1047" s="8"/>
      <c r="HZ1047" s="8"/>
      <c r="IA1047" s="8"/>
      <c r="IB1047" s="8"/>
      <c r="IC1047" s="8"/>
      <c r="ID1047" s="8"/>
      <c r="IE1047" s="8"/>
      <c r="IF1047" s="8"/>
    </row>
    <row r="1048" spans="1:240" ht="30" customHeight="1">
      <c r="A1048" s="5">
        <v>1046</v>
      </c>
      <c r="B1048" s="5"/>
      <c r="C1048" s="5"/>
      <c r="D1048" s="5" t="s">
        <v>68</v>
      </c>
      <c r="E1048" s="5" t="e">
        <f>46*#REF!</f>
        <v>#REF!</v>
      </c>
      <c r="F1048" s="5" t="s">
        <v>48</v>
      </c>
      <c r="G1048" s="5" t="e">
        <f>59*#REF!</f>
        <v>#REF!</v>
      </c>
      <c r="H1048" s="15">
        <f>536*0.454</f>
        <v>243.34399999999999</v>
      </c>
      <c r="I1048" s="5" t="s">
        <v>13</v>
      </c>
      <c r="J1048" s="15">
        <f>44/4.4</f>
        <v>10</v>
      </c>
      <c r="K1048" s="15">
        <f t="shared" si="29"/>
        <v>5.5560000000000009</v>
      </c>
      <c r="L1048" s="5">
        <v>52.75</v>
      </c>
      <c r="M1048" s="15">
        <f t="shared" si="30"/>
        <v>5.5549999999999997</v>
      </c>
      <c r="N1048" s="5" t="s">
        <v>48</v>
      </c>
      <c r="O1048" s="15">
        <f>4767*1.6978</f>
        <v>8093.4125999999997</v>
      </c>
      <c r="P1048" s="5"/>
      <c r="Q1048" s="5"/>
      <c r="R1048" s="5">
        <v>1</v>
      </c>
      <c r="S1048" s="5" t="e">
        <f>26.375*#REF!</f>
        <v>#REF!</v>
      </c>
      <c r="T1048" s="5" t="s">
        <v>48</v>
      </c>
      <c r="U1048" s="5" t="s">
        <v>48</v>
      </c>
      <c r="V1048" s="15">
        <f>1/4*0.7457</f>
        <v>0.18642500000000001</v>
      </c>
      <c r="W1048" s="5" t="s">
        <v>86</v>
      </c>
      <c r="X1048" s="5" t="s">
        <v>48</v>
      </c>
      <c r="Y1048" s="5" t="s">
        <v>48</v>
      </c>
      <c r="Z1048" s="5" t="s">
        <v>48</v>
      </c>
      <c r="AA1048" s="5"/>
      <c r="AB1048" s="5"/>
      <c r="AC1048" s="5"/>
      <c r="AD1048" s="5"/>
      <c r="AE1048" s="5"/>
      <c r="AF1048" s="5"/>
      <c r="AG1048" s="5"/>
      <c r="AH1048" s="16">
        <f>2165*0.7705</f>
        <v>1668.1324999999999</v>
      </c>
      <c r="AI1048" s="16" t="s">
        <v>68</v>
      </c>
      <c r="AJ1048" s="16"/>
      <c r="AK1048" s="16"/>
      <c r="AL1048" s="16"/>
      <c r="AM1048" s="16">
        <f>AH1048+114*0.7705</f>
        <v>1755.9694999999999</v>
      </c>
      <c r="AN1048" s="5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  <c r="BY1048" s="8"/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/>
      <c r="CK1048" s="8"/>
      <c r="CL1048" s="8"/>
      <c r="CM1048" s="8"/>
      <c r="CN1048" s="8"/>
      <c r="CO1048" s="8"/>
      <c r="CP1048" s="8"/>
      <c r="CQ1048" s="8"/>
      <c r="CR1048" s="8"/>
      <c r="CS1048" s="8"/>
      <c r="CT1048" s="8"/>
      <c r="CU1048" s="8"/>
      <c r="CV1048" s="8"/>
      <c r="CW1048" s="8"/>
      <c r="CX1048" s="8"/>
      <c r="CY1048" s="8"/>
      <c r="CZ1048" s="8"/>
      <c r="DA1048" s="8"/>
      <c r="DB1048" s="8"/>
      <c r="DC1048" s="8"/>
      <c r="DD1048" s="8"/>
      <c r="DE1048" s="8"/>
      <c r="DF1048" s="8"/>
      <c r="DG1048" s="8"/>
      <c r="DH1048" s="8"/>
      <c r="DI1048" s="8"/>
      <c r="DJ1048" s="8"/>
      <c r="DK1048" s="8"/>
      <c r="DL1048" s="8"/>
      <c r="DM1048" s="8"/>
      <c r="DN1048" s="8"/>
      <c r="DO1048" s="8"/>
      <c r="DP1048" s="8"/>
      <c r="DQ1048" s="8"/>
      <c r="DR1048" s="8"/>
      <c r="DS1048" s="8"/>
      <c r="DT1048" s="8"/>
      <c r="DU1048" s="8"/>
      <c r="DV1048" s="8"/>
      <c r="DW1048" s="8"/>
      <c r="DX1048" s="8"/>
      <c r="DY1048" s="8"/>
      <c r="DZ1048" s="8"/>
      <c r="EA1048" s="8"/>
      <c r="EB1048" s="8"/>
      <c r="EC1048" s="8"/>
      <c r="ED1048" s="8"/>
      <c r="EE1048" s="8"/>
      <c r="EF1048" s="8"/>
      <c r="EG1048" s="8"/>
      <c r="EH1048" s="8"/>
      <c r="EI1048" s="8"/>
      <c r="EJ1048" s="8"/>
      <c r="EK1048" s="8"/>
      <c r="EL1048" s="8"/>
      <c r="EM1048" s="8"/>
      <c r="EN1048" s="8"/>
      <c r="EO1048" s="8"/>
      <c r="EP1048" s="8"/>
      <c r="EQ1048" s="8"/>
      <c r="ER1048" s="8"/>
      <c r="ES1048" s="8"/>
      <c r="ET1048" s="8"/>
      <c r="EU1048" s="8"/>
      <c r="EV1048" s="8"/>
      <c r="EW1048" s="8"/>
      <c r="EX1048" s="8"/>
      <c r="EY1048" s="8"/>
      <c r="EZ1048" s="8"/>
      <c r="FA1048" s="8"/>
      <c r="FB1048" s="8"/>
      <c r="FC1048" s="8"/>
      <c r="FD1048" s="8"/>
      <c r="FE1048" s="8"/>
      <c r="FF1048" s="8"/>
      <c r="FG1048" s="8"/>
      <c r="FH1048" s="8"/>
      <c r="FI1048" s="8"/>
      <c r="FJ1048" s="8"/>
      <c r="FK1048" s="8"/>
      <c r="FL1048" s="8"/>
      <c r="FM1048" s="8"/>
      <c r="FN1048" s="8"/>
      <c r="FO1048" s="8"/>
      <c r="FP1048" s="8"/>
      <c r="FQ1048" s="8"/>
      <c r="FR1048" s="8"/>
      <c r="FS1048" s="8"/>
      <c r="FT1048" s="8"/>
      <c r="FU1048" s="8"/>
      <c r="FV1048" s="8"/>
      <c r="FW1048" s="8"/>
      <c r="FX1048" s="8"/>
      <c r="FY1048" s="8"/>
      <c r="FZ1048" s="8"/>
      <c r="GA1048" s="8"/>
      <c r="GB1048" s="8"/>
      <c r="GC1048" s="8"/>
      <c r="GD1048" s="8"/>
      <c r="GE1048" s="8"/>
      <c r="GF1048" s="8"/>
      <c r="GG1048" s="8"/>
      <c r="GH1048" s="8"/>
      <c r="GI1048" s="8"/>
      <c r="GJ1048" s="8"/>
      <c r="GK1048" s="8"/>
      <c r="GL1048" s="8"/>
      <c r="GM1048" s="8"/>
      <c r="GN1048" s="8"/>
      <c r="GO1048" s="8"/>
      <c r="GP1048" s="8"/>
      <c r="GQ1048" s="8"/>
      <c r="GR1048" s="8"/>
      <c r="GS1048" s="8"/>
      <c r="GT1048" s="8"/>
      <c r="GU1048" s="8"/>
      <c r="GV1048" s="8"/>
      <c r="GW1048" s="8"/>
      <c r="GX1048" s="8"/>
      <c r="GY1048" s="8"/>
      <c r="GZ1048" s="8"/>
      <c r="HA1048" s="8"/>
      <c r="HB1048" s="8"/>
      <c r="HC1048" s="8"/>
      <c r="HD1048" s="8"/>
      <c r="HE1048" s="8"/>
      <c r="HF1048" s="8"/>
      <c r="HG1048" s="8"/>
      <c r="HH1048" s="8"/>
      <c r="HI1048" s="8"/>
      <c r="HJ1048" s="8"/>
      <c r="HK1048" s="8"/>
      <c r="HL1048" s="8"/>
      <c r="HM1048" s="8"/>
      <c r="HN1048" s="8"/>
      <c r="HO1048" s="8"/>
      <c r="HP1048" s="8"/>
      <c r="HQ1048" s="8"/>
      <c r="HR1048" s="8"/>
      <c r="HS1048" s="8"/>
      <c r="HT1048" s="8"/>
      <c r="HU1048" s="8"/>
      <c r="HV1048" s="8"/>
      <c r="HW1048" s="8"/>
      <c r="HX1048" s="8"/>
      <c r="HY1048" s="8"/>
      <c r="HZ1048" s="8"/>
      <c r="IA1048" s="8"/>
      <c r="IB1048" s="8"/>
      <c r="IC1048" s="8"/>
      <c r="ID1048" s="8"/>
      <c r="IE1048" s="8"/>
      <c r="IF1048" s="8"/>
    </row>
    <row r="1049" spans="1:240" ht="30" customHeight="1">
      <c r="A1049" s="5">
        <v>1047</v>
      </c>
      <c r="B1049" s="5"/>
      <c r="C1049" s="5"/>
      <c r="D1049" s="5" t="s">
        <v>68</v>
      </c>
      <c r="E1049" s="5" t="e">
        <f>54.375*#REF!</f>
        <v>#REF!</v>
      </c>
      <c r="F1049" s="5" t="s">
        <v>48</v>
      </c>
      <c r="G1049" s="5" t="e">
        <f>63*#REF!</f>
        <v>#REF!</v>
      </c>
      <c r="H1049" s="15">
        <f>719*0.454</f>
        <v>326.42599999999999</v>
      </c>
      <c r="I1049" s="5" t="s">
        <v>13</v>
      </c>
      <c r="J1049" s="15">
        <f>58/4.4</f>
        <v>13.18181818181818</v>
      </c>
      <c r="K1049" s="15">
        <f t="shared" si="29"/>
        <v>5.5560000000000009</v>
      </c>
      <c r="L1049" s="5">
        <v>70.34</v>
      </c>
      <c r="M1049" s="15">
        <f t="shared" si="30"/>
        <v>5.5549999999999997</v>
      </c>
      <c r="N1049" s="5" t="s">
        <v>48</v>
      </c>
      <c r="O1049" s="15">
        <f>5356*1.6978</f>
        <v>9093.4167999999991</v>
      </c>
      <c r="P1049" s="5"/>
      <c r="Q1049" s="5"/>
      <c r="R1049" s="5">
        <v>1</v>
      </c>
      <c r="S1049" s="5" t="e">
        <f>30.25*#REF!</f>
        <v>#REF!</v>
      </c>
      <c r="T1049" s="5" t="s">
        <v>48</v>
      </c>
      <c r="U1049" s="5" t="s">
        <v>48</v>
      </c>
      <c r="V1049" s="15">
        <f>1/2*0.7457</f>
        <v>0.37285000000000001</v>
      </c>
      <c r="W1049" s="5" t="s">
        <v>88</v>
      </c>
      <c r="X1049" s="5" t="s">
        <v>48</v>
      </c>
      <c r="Y1049" s="5" t="s">
        <v>48</v>
      </c>
      <c r="Z1049" s="5" t="s">
        <v>48</v>
      </c>
      <c r="AA1049" s="5"/>
      <c r="AB1049" s="5"/>
      <c r="AC1049" s="5"/>
      <c r="AD1049" s="5"/>
      <c r="AE1049" s="5"/>
      <c r="AF1049" s="5"/>
      <c r="AG1049" s="5"/>
      <c r="AH1049" s="16">
        <f>3045*0.7705</f>
        <v>2346.1724999999997</v>
      </c>
      <c r="AI1049" s="16" t="s">
        <v>68</v>
      </c>
      <c r="AJ1049" s="16"/>
      <c r="AK1049" s="16"/>
      <c r="AL1049" s="16"/>
      <c r="AM1049" s="16">
        <f>AH1049+205*0.7705</f>
        <v>2504.1249999999995</v>
      </c>
      <c r="AN1049" s="5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  <c r="BY1049" s="8"/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/>
      <c r="CK1049" s="8"/>
      <c r="CL1049" s="8"/>
      <c r="CM1049" s="8"/>
      <c r="CN1049" s="8"/>
      <c r="CO1049" s="8"/>
      <c r="CP1049" s="8"/>
      <c r="CQ1049" s="8"/>
      <c r="CR1049" s="8"/>
      <c r="CS1049" s="8"/>
      <c r="CT1049" s="8"/>
      <c r="CU1049" s="8"/>
      <c r="CV1049" s="8"/>
      <c r="CW1049" s="8"/>
      <c r="CX1049" s="8"/>
      <c r="CY1049" s="8"/>
      <c r="CZ1049" s="8"/>
      <c r="DA1049" s="8"/>
      <c r="DB1049" s="8"/>
      <c r="DC1049" s="8"/>
      <c r="DD1049" s="8"/>
      <c r="DE1049" s="8"/>
      <c r="DF1049" s="8"/>
      <c r="DG1049" s="8"/>
      <c r="DH1049" s="8"/>
      <c r="DI1049" s="8"/>
      <c r="DJ1049" s="8"/>
      <c r="DK1049" s="8"/>
      <c r="DL1049" s="8"/>
      <c r="DM1049" s="8"/>
      <c r="DN1049" s="8"/>
      <c r="DO1049" s="8"/>
      <c r="DP1049" s="8"/>
      <c r="DQ1049" s="8"/>
      <c r="DR1049" s="8"/>
      <c r="DS1049" s="8"/>
      <c r="DT1049" s="8"/>
      <c r="DU1049" s="8"/>
      <c r="DV1049" s="8"/>
      <c r="DW1049" s="8"/>
      <c r="DX1049" s="8"/>
      <c r="DY1049" s="8"/>
      <c r="DZ1049" s="8"/>
      <c r="EA1049" s="8"/>
      <c r="EB1049" s="8"/>
      <c r="EC1049" s="8"/>
      <c r="ED1049" s="8"/>
      <c r="EE1049" s="8"/>
      <c r="EF1049" s="8"/>
      <c r="EG1049" s="8"/>
      <c r="EH1049" s="8"/>
      <c r="EI1049" s="8"/>
      <c r="EJ1049" s="8"/>
      <c r="EK1049" s="8"/>
      <c r="EL1049" s="8"/>
      <c r="EM1049" s="8"/>
      <c r="EN1049" s="8"/>
      <c r="EO1049" s="8"/>
      <c r="EP1049" s="8"/>
      <c r="EQ1049" s="8"/>
      <c r="ER1049" s="8"/>
      <c r="ES1049" s="8"/>
      <c r="ET1049" s="8"/>
      <c r="EU1049" s="8"/>
      <c r="EV1049" s="8"/>
      <c r="EW1049" s="8"/>
      <c r="EX1049" s="8"/>
      <c r="EY1049" s="8"/>
      <c r="EZ1049" s="8"/>
      <c r="FA1049" s="8"/>
      <c r="FB1049" s="8"/>
      <c r="FC1049" s="8"/>
      <c r="FD1049" s="8"/>
      <c r="FE1049" s="8"/>
      <c r="FF1049" s="8"/>
      <c r="FG1049" s="8"/>
      <c r="FH1049" s="8"/>
      <c r="FI1049" s="8"/>
      <c r="FJ1049" s="8"/>
      <c r="FK1049" s="8"/>
      <c r="FL1049" s="8"/>
      <c r="FM1049" s="8"/>
      <c r="FN1049" s="8"/>
      <c r="FO1049" s="8"/>
      <c r="FP1049" s="8"/>
      <c r="FQ1049" s="8"/>
      <c r="FR1049" s="8"/>
      <c r="FS1049" s="8"/>
      <c r="FT1049" s="8"/>
      <c r="FU1049" s="8"/>
      <c r="FV1049" s="8"/>
      <c r="FW1049" s="8"/>
      <c r="FX1049" s="8"/>
      <c r="FY1049" s="8"/>
      <c r="FZ1049" s="8"/>
      <c r="GA1049" s="8"/>
      <c r="GB1049" s="8"/>
      <c r="GC1049" s="8"/>
      <c r="GD1049" s="8"/>
      <c r="GE1049" s="8"/>
      <c r="GF1049" s="8"/>
      <c r="GG1049" s="8"/>
      <c r="GH1049" s="8"/>
      <c r="GI1049" s="8"/>
      <c r="GJ1049" s="8"/>
      <c r="GK1049" s="8"/>
      <c r="GL1049" s="8"/>
      <c r="GM1049" s="8"/>
      <c r="GN1049" s="8"/>
      <c r="GO1049" s="8"/>
      <c r="GP1049" s="8"/>
      <c r="GQ1049" s="8"/>
      <c r="GR1049" s="8"/>
      <c r="GS1049" s="8"/>
      <c r="GT1049" s="8"/>
      <c r="GU1049" s="8"/>
      <c r="GV1049" s="8"/>
      <c r="GW1049" s="8"/>
      <c r="GX1049" s="8"/>
      <c r="GY1049" s="8"/>
      <c r="GZ1049" s="8"/>
      <c r="HA1049" s="8"/>
      <c r="HB1049" s="8"/>
      <c r="HC1049" s="8"/>
      <c r="HD1049" s="8"/>
      <c r="HE1049" s="8"/>
      <c r="HF1049" s="8"/>
      <c r="HG1049" s="8"/>
      <c r="HH1049" s="8"/>
      <c r="HI1049" s="8"/>
      <c r="HJ1049" s="8"/>
      <c r="HK1049" s="8"/>
      <c r="HL1049" s="8"/>
      <c r="HM1049" s="8"/>
      <c r="HN1049" s="8"/>
      <c r="HO1049" s="8"/>
      <c r="HP1049" s="8"/>
      <c r="HQ1049" s="8"/>
      <c r="HR1049" s="8"/>
      <c r="HS1049" s="8"/>
      <c r="HT1049" s="8"/>
      <c r="HU1049" s="8"/>
      <c r="HV1049" s="8"/>
      <c r="HW1049" s="8"/>
      <c r="HX1049" s="8"/>
      <c r="HY1049" s="8"/>
      <c r="HZ1049" s="8"/>
      <c r="IA1049" s="8"/>
      <c r="IB1049" s="8"/>
      <c r="IC1049" s="8"/>
      <c r="ID1049" s="8"/>
      <c r="IE1049" s="8"/>
      <c r="IF1049" s="8"/>
    </row>
    <row r="1050" spans="1:240" ht="30" customHeight="1">
      <c r="A1050" s="5">
        <v>1048</v>
      </c>
      <c r="B1050" s="5"/>
      <c r="C1050" s="5"/>
      <c r="D1050" s="5" t="s">
        <v>68</v>
      </c>
      <c r="E1050" s="5" t="e">
        <f>54.375*#REF!</f>
        <v>#REF!</v>
      </c>
      <c r="F1050" s="5" t="s">
        <v>48</v>
      </c>
      <c r="G1050" s="5" t="e">
        <f>70.94*#REF!</f>
        <v>#REF!</v>
      </c>
      <c r="H1050" s="15">
        <f>887*0.454</f>
        <v>402.69800000000004</v>
      </c>
      <c r="I1050" s="5" t="s">
        <v>13</v>
      </c>
      <c r="J1050" s="15">
        <f>73/4.4</f>
        <v>16.59090909090909</v>
      </c>
      <c r="K1050" s="15">
        <f t="shared" si="29"/>
        <v>5.5560000000000009</v>
      </c>
      <c r="L1050" s="5">
        <v>87.92</v>
      </c>
      <c r="M1050" s="15">
        <f t="shared" si="30"/>
        <v>5.5549999999999997</v>
      </c>
      <c r="N1050" s="5" t="s">
        <v>48</v>
      </c>
      <c r="O1050" s="15">
        <f>7000*1.6978</f>
        <v>11884.6</v>
      </c>
      <c r="P1050" s="5"/>
      <c r="Q1050" s="5"/>
      <c r="R1050" s="5">
        <v>1</v>
      </c>
      <c r="S1050" s="5" t="e">
        <f>30.25*#REF!</f>
        <v>#REF!</v>
      </c>
      <c r="T1050" s="5" t="s">
        <v>48</v>
      </c>
      <c r="U1050" s="5" t="s">
        <v>48</v>
      </c>
      <c r="V1050" s="15">
        <f>3/4*0.7457</f>
        <v>0.55927499999999997</v>
      </c>
      <c r="W1050" s="5" t="s">
        <v>87</v>
      </c>
      <c r="X1050" s="5" t="s">
        <v>48</v>
      </c>
      <c r="Y1050" s="5" t="s">
        <v>48</v>
      </c>
      <c r="Z1050" s="5" t="s">
        <v>48</v>
      </c>
      <c r="AA1050" s="5"/>
      <c r="AB1050" s="5"/>
      <c r="AC1050" s="5"/>
      <c r="AD1050" s="5"/>
      <c r="AE1050" s="5"/>
      <c r="AF1050" s="5"/>
      <c r="AG1050" s="5"/>
      <c r="AH1050" s="16">
        <f>3227*0.7705</f>
        <v>2486.4034999999999</v>
      </c>
      <c r="AI1050" s="16" t="s">
        <v>68</v>
      </c>
      <c r="AJ1050" s="16"/>
      <c r="AK1050" s="16"/>
      <c r="AL1050" s="16"/>
      <c r="AM1050" s="16">
        <f>AH1050+236*0.7705</f>
        <v>2668.2415000000001</v>
      </c>
      <c r="AN1050" s="5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  <c r="BY1050" s="8"/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/>
      <c r="CK1050" s="8"/>
      <c r="CL1050" s="8"/>
      <c r="CM1050" s="8"/>
      <c r="CN1050" s="8"/>
      <c r="CO1050" s="8"/>
      <c r="CP1050" s="8"/>
      <c r="CQ1050" s="8"/>
      <c r="CR1050" s="8"/>
      <c r="CS1050" s="8"/>
      <c r="CT1050" s="8"/>
      <c r="CU1050" s="8"/>
      <c r="CV1050" s="8"/>
      <c r="CW1050" s="8"/>
      <c r="CX1050" s="8"/>
      <c r="CY1050" s="8"/>
      <c r="CZ1050" s="8"/>
      <c r="DA1050" s="8"/>
      <c r="DB1050" s="8"/>
      <c r="DC1050" s="8"/>
      <c r="DD1050" s="8"/>
      <c r="DE1050" s="8"/>
      <c r="DF1050" s="8"/>
      <c r="DG1050" s="8"/>
      <c r="DH1050" s="8"/>
      <c r="DI1050" s="8"/>
      <c r="DJ1050" s="8"/>
      <c r="DK1050" s="8"/>
      <c r="DL1050" s="8"/>
      <c r="DM1050" s="8"/>
      <c r="DN1050" s="8"/>
      <c r="DO1050" s="8"/>
      <c r="DP1050" s="8"/>
      <c r="DQ1050" s="8"/>
      <c r="DR1050" s="8"/>
      <c r="DS1050" s="8"/>
      <c r="DT1050" s="8"/>
      <c r="DU1050" s="8"/>
      <c r="DV1050" s="8"/>
      <c r="DW1050" s="8"/>
      <c r="DX1050" s="8"/>
      <c r="DY1050" s="8"/>
      <c r="DZ1050" s="8"/>
      <c r="EA1050" s="8"/>
      <c r="EB1050" s="8"/>
      <c r="EC1050" s="8"/>
      <c r="ED1050" s="8"/>
      <c r="EE1050" s="8"/>
      <c r="EF1050" s="8"/>
      <c r="EG1050" s="8"/>
      <c r="EH1050" s="8"/>
      <c r="EI1050" s="8"/>
      <c r="EJ1050" s="8"/>
      <c r="EK1050" s="8"/>
      <c r="EL1050" s="8"/>
      <c r="EM1050" s="8"/>
      <c r="EN1050" s="8"/>
      <c r="EO1050" s="8"/>
      <c r="EP1050" s="8"/>
      <c r="EQ1050" s="8"/>
      <c r="ER1050" s="8"/>
      <c r="ES1050" s="8"/>
      <c r="ET1050" s="8"/>
      <c r="EU1050" s="8"/>
      <c r="EV1050" s="8"/>
      <c r="EW1050" s="8"/>
      <c r="EX1050" s="8"/>
      <c r="EY1050" s="8"/>
      <c r="EZ1050" s="8"/>
      <c r="FA1050" s="8"/>
      <c r="FB1050" s="8"/>
      <c r="FC1050" s="8"/>
      <c r="FD1050" s="8"/>
      <c r="FE1050" s="8"/>
      <c r="FF1050" s="8"/>
      <c r="FG1050" s="8"/>
      <c r="FH1050" s="8"/>
      <c r="FI1050" s="8"/>
      <c r="FJ1050" s="8"/>
      <c r="FK1050" s="8"/>
      <c r="FL1050" s="8"/>
      <c r="FM1050" s="8"/>
      <c r="FN1050" s="8"/>
      <c r="FO1050" s="8"/>
      <c r="FP1050" s="8"/>
      <c r="FQ1050" s="8"/>
      <c r="FR1050" s="8"/>
      <c r="FS1050" s="8"/>
      <c r="FT1050" s="8"/>
      <c r="FU1050" s="8"/>
      <c r="FV1050" s="8"/>
      <c r="FW1050" s="8"/>
      <c r="FX1050" s="8"/>
      <c r="FY1050" s="8"/>
      <c r="FZ1050" s="8"/>
      <c r="GA1050" s="8"/>
      <c r="GB1050" s="8"/>
      <c r="GC1050" s="8"/>
      <c r="GD1050" s="8"/>
      <c r="GE1050" s="8"/>
      <c r="GF1050" s="8"/>
      <c r="GG1050" s="8"/>
      <c r="GH1050" s="8"/>
      <c r="GI1050" s="8"/>
      <c r="GJ1050" s="8"/>
      <c r="GK1050" s="8"/>
      <c r="GL1050" s="8"/>
      <c r="GM1050" s="8"/>
      <c r="GN1050" s="8"/>
      <c r="GO1050" s="8"/>
      <c r="GP1050" s="8"/>
      <c r="GQ1050" s="8"/>
      <c r="GR1050" s="8"/>
      <c r="GS1050" s="8"/>
      <c r="GT1050" s="8"/>
      <c r="GU1050" s="8"/>
      <c r="GV1050" s="8"/>
      <c r="GW1050" s="8"/>
      <c r="GX1050" s="8"/>
      <c r="GY1050" s="8"/>
      <c r="GZ1050" s="8"/>
      <c r="HA1050" s="8"/>
      <c r="HB1050" s="8"/>
      <c r="HC1050" s="8"/>
      <c r="HD1050" s="8"/>
      <c r="HE1050" s="8"/>
      <c r="HF1050" s="8"/>
      <c r="HG1050" s="8"/>
      <c r="HH1050" s="8"/>
      <c r="HI1050" s="8"/>
      <c r="HJ1050" s="8"/>
      <c r="HK1050" s="8"/>
      <c r="HL1050" s="8"/>
      <c r="HM1050" s="8"/>
      <c r="HN1050" s="8"/>
      <c r="HO1050" s="8"/>
      <c r="HP1050" s="8"/>
      <c r="HQ1050" s="8"/>
      <c r="HR1050" s="8"/>
      <c r="HS1050" s="8"/>
      <c r="HT1050" s="8"/>
      <c r="HU1050" s="8"/>
      <c r="HV1050" s="8"/>
      <c r="HW1050" s="8"/>
      <c r="HX1050" s="8"/>
      <c r="HY1050" s="8"/>
      <c r="HZ1050" s="8"/>
      <c r="IA1050" s="8"/>
      <c r="IB1050" s="8"/>
      <c r="IC1050" s="8"/>
      <c r="ID1050" s="8"/>
      <c r="IE1050" s="8"/>
      <c r="IF1050" s="8"/>
    </row>
    <row r="1051" spans="1:240" ht="30" customHeight="1">
      <c r="A1051" s="5">
        <v>1049</v>
      </c>
      <c r="B1051" s="5"/>
      <c r="C1051" s="5"/>
      <c r="D1051" s="5" t="s">
        <v>68</v>
      </c>
      <c r="E1051" s="5" t="e">
        <f>62.25*#REF!</f>
        <v>#REF!</v>
      </c>
      <c r="F1051" s="5" t="s">
        <v>48</v>
      </c>
      <c r="G1051" s="5" t="e">
        <f>68.38*#REF!</f>
        <v>#REF!</v>
      </c>
      <c r="H1051" s="15">
        <f>1074*0.454</f>
        <v>487.596</v>
      </c>
      <c r="I1051" s="5" t="s">
        <v>13</v>
      </c>
      <c r="J1051" s="15">
        <f>88/4.4</f>
        <v>20</v>
      </c>
      <c r="K1051" s="15">
        <f t="shared" si="29"/>
        <v>5.5560000000000009</v>
      </c>
      <c r="L1051" s="5">
        <v>105.51</v>
      </c>
      <c r="M1051" s="15">
        <f t="shared" si="30"/>
        <v>5.5549999999999997</v>
      </c>
      <c r="N1051" s="5" t="s">
        <v>48</v>
      </c>
      <c r="O1051" s="15">
        <f>8100*1.6978</f>
        <v>13752.18</v>
      </c>
      <c r="P1051" s="5"/>
      <c r="Q1051" s="5"/>
      <c r="R1051" s="5">
        <v>1</v>
      </c>
      <c r="S1051" s="5" t="e">
        <f>30.25*#REF!</f>
        <v>#REF!</v>
      </c>
      <c r="T1051" s="5" t="s">
        <v>48</v>
      </c>
      <c r="U1051" s="5" t="s">
        <v>48</v>
      </c>
      <c r="V1051" s="15">
        <f>1*0.7457</f>
        <v>0.74570000000000003</v>
      </c>
      <c r="W1051" s="5" t="s">
        <v>87</v>
      </c>
      <c r="X1051" s="5" t="s">
        <v>48</v>
      </c>
      <c r="Y1051" s="5" t="s">
        <v>48</v>
      </c>
      <c r="Z1051" s="5" t="s">
        <v>48</v>
      </c>
      <c r="AA1051" s="5"/>
      <c r="AB1051" s="5"/>
      <c r="AC1051" s="5"/>
      <c r="AD1051" s="5"/>
      <c r="AE1051" s="5"/>
      <c r="AF1051" s="5"/>
      <c r="AG1051" s="5"/>
      <c r="AH1051" s="16">
        <f>3737*0.7705</f>
        <v>2879.3584999999998</v>
      </c>
      <c r="AI1051" s="16" t="s">
        <v>68</v>
      </c>
      <c r="AJ1051" s="16"/>
      <c r="AK1051" s="16"/>
      <c r="AL1051" s="16"/>
      <c r="AM1051" s="16">
        <f>AH1051+278*0.7705</f>
        <v>3093.5574999999999</v>
      </c>
      <c r="AN1051" s="5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  <c r="BY1051" s="8"/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/>
      <c r="CK1051" s="8"/>
      <c r="CL1051" s="8"/>
      <c r="CM1051" s="8"/>
      <c r="CN1051" s="8"/>
      <c r="CO1051" s="8"/>
      <c r="CP1051" s="8"/>
      <c r="CQ1051" s="8"/>
      <c r="CR1051" s="8"/>
      <c r="CS1051" s="8"/>
      <c r="CT1051" s="8"/>
      <c r="CU1051" s="8"/>
      <c r="CV1051" s="8"/>
      <c r="CW1051" s="8"/>
      <c r="CX1051" s="8"/>
      <c r="CY1051" s="8"/>
      <c r="CZ1051" s="8"/>
      <c r="DA1051" s="8"/>
      <c r="DB1051" s="8"/>
      <c r="DC1051" s="8"/>
      <c r="DD1051" s="8"/>
      <c r="DE1051" s="8"/>
      <c r="DF1051" s="8"/>
      <c r="DG1051" s="8"/>
      <c r="DH1051" s="8"/>
      <c r="DI1051" s="8"/>
      <c r="DJ1051" s="8"/>
      <c r="DK1051" s="8"/>
      <c r="DL1051" s="8"/>
      <c r="DM1051" s="8"/>
      <c r="DN1051" s="8"/>
      <c r="DO1051" s="8"/>
      <c r="DP1051" s="8"/>
      <c r="DQ1051" s="8"/>
      <c r="DR1051" s="8"/>
      <c r="DS1051" s="8"/>
      <c r="DT1051" s="8"/>
      <c r="DU1051" s="8"/>
      <c r="DV1051" s="8"/>
      <c r="DW1051" s="8"/>
      <c r="DX1051" s="8"/>
      <c r="DY1051" s="8"/>
      <c r="DZ1051" s="8"/>
      <c r="EA1051" s="8"/>
      <c r="EB1051" s="8"/>
      <c r="EC1051" s="8"/>
      <c r="ED1051" s="8"/>
      <c r="EE1051" s="8"/>
      <c r="EF1051" s="8"/>
      <c r="EG1051" s="8"/>
      <c r="EH1051" s="8"/>
      <c r="EI1051" s="8"/>
      <c r="EJ1051" s="8"/>
      <c r="EK1051" s="8"/>
      <c r="EL1051" s="8"/>
      <c r="EM1051" s="8"/>
      <c r="EN1051" s="8"/>
      <c r="EO1051" s="8"/>
      <c r="EP1051" s="8"/>
      <c r="EQ1051" s="8"/>
      <c r="ER1051" s="8"/>
      <c r="ES1051" s="8"/>
      <c r="ET1051" s="8"/>
      <c r="EU1051" s="8"/>
      <c r="EV1051" s="8"/>
      <c r="EW1051" s="8"/>
      <c r="EX1051" s="8"/>
      <c r="EY1051" s="8"/>
      <c r="EZ1051" s="8"/>
      <c r="FA1051" s="8"/>
      <c r="FB1051" s="8"/>
      <c r="FC1051" s="8"/>
      <c r="FD1051" s="8"/>
      <c r="FE1051" s="8"/>
      <c r="FF1051" s="8"/>
      <c r="FG1051" s="8"/>
      <c r="FH1051" s="8"/>
      <c r="FI1051" s="8"/>
      <c r="FJ1051" s="8"/>
      <c r="FK1051" s="8"/>
      <c r="FL1051" s="8"/>
      <c r="FM1051" s="8"/>
      <c r="FN1051" s="8"/>
      <c r="FO1051" s="8"/>
      <c r="FP1051" s="8"/>
      <c r="FQ1051" s="8"/>
      <c r="FR1051" s="8"/>
      <c r="FS1051" s="8"/>
      <c r="FT1051" s="8"/>
      <c r="FU1051" s="8"/>
      <c r="FV1051" s="8"/>
      <c r="FW1051" s="8"/>
      <c r="FX1051" s="8"/>
      <c r="FY1051" s="8"/>
      <c r="FZ1051" s="8"/>
      <c r="GA1051" s="8"/>
      <c r="GB1051" s="8"/>
      <c r="GC1051" s="8"/>
      <c r="GD1051" s="8"/>
      <c r="GE1051" s="8"/>
      <c r="GF1051" s="8"/>
      <c r="GG1051" s="8"/>
      <c r="GH1051" s="8"/>
      <c r="GI1051" s="8"/>
      <c r="GJ1051" s="8"/>
      <c r="GK1051" s="8"/>
      <c r="GL1051" s="8"/>
      <c r="GM1051" s="8"/>
      <c r="GN1051" s="8"/>
      <c r="GO1051" s="8"/>
      <c r="GP1051" s="8"/>
      <c r="GQ1051" s="8"/>
      <c r="GR1051" s="8"/>
      <c r="GS1051" s="8"/>
      <c r="GT1051" s="8"/>
      <c r="GU1051" s="8"/>
      <c r="GV1051" s="8"/>
      <c r="GW1051" s="8"/>
      <c r="GX1051" s="8"/>
      <c r="GY1051" s="8"/>
      <c r="GZ1051" s="8"/>
      <c r="HA1051" s="8"/>
      <c r="HB1051" s="8"/>
      <c r="HC1051" s="8"/>
      <c r="HD1051" s="8"/>
      <c r="HE1051" s="8"/>
      <c r="HF1051" s="8"/>
      <c r="HG1051" s="8"/>
      <c r="HH1051" s="8"/>
      <c r="HI1051" s="8"/>
      <c r="HJ1051" s="8"/>
      <c r="HK1051" s="8"/>
      <c r="HL1051" s="8"/>
      <c r="HM1051" s="8"/>
      <c r="HN1051" s="8"/>
      <c r="HO1051" s="8"/>
      <c r="HP1051" s="8"/>
      <c r="HQ1051" s="8"/>
      <c r="HR1051" s="8"/>
      <c r="HS1051" s="8"/>
      <c r="HT1051" s="8"/>
      <c r="HU1051" s="8"/>
      <c r="HV1051" s="8"/>
      <c r="HW1051" s="8"/>
      <c r="HX1051" s="8"/>
      <c r="HY1051" s="8"/>
      <c r="HZ1051" s="8"/>
      <c r="IA1051" s="8"/>
      <c r="IB1051" s="8"/>
      <c r="IC1051" s="8"/>
      <c r="ID1051" s="8"/>
      <c r="IE1051" s="8"/>
      <c r="IF1051" s="8"/>
    </row>
    <row r="1052" spans="1:240" ht="30" customHeight="1">
      <c r="A1052" s="5">
        <v>1050</v>
      </c>
      <c r="B1052" s="5"/>
      <c r="C1052" s="5"/>
      <c r="D1052" s="5" t="s">
        <v>68</v>
      </c>
      <c r="E1052" s="5" t="e">
        <f>71.625*#REF!</f>
        <v>#REF!</v>
      </c>
      <c r="F1052" s="5" t="s">
        <v>48</v>
      </c>
      <c r="G1052" s="5" t="e">
        <f>74.5*#REF!</f>
        <v>#REF!</v>
      </c>
      <c r="H1052" s="15">
        <f>1133*0.454</f>
        <v>514.38200000000006</v>
      </c>
      <c r="I1052" s="5" t="s">
        <v>13</v>
      </c>
      <c r="J1052" s="15">
        <f>118/4.4</f>
        <v>26.818181818181817</v>
      </c>
      <c r="K1052" s="15">
        <f t="shared" si="29"/>
        <v>5.5560000000000009</v>
      </c>
      <c r="L1052" s="5">
        <v>140.66999999999999</v>
      </c>
      <c r="M1052" s="15">
        <f t="shared" si="30"/>
        <v>5.5549999999999997</v>
      </c>
      <c r="N1052" s="5" t="s">
        <v>48</v>
      </c>
      <c r="O1052" s="15">
        <f>9800*1.6978</f>
        <v>16638.439999999999</v>
      </c>
      <c r="P1052" s="5"/>
      <c r="Q1052" s="5"/>
      <c r="R1052" s="5">
        <v>1</v>
      </c>
      <c r="S1052" s="5" t="e">
        <f>38.25*#REF!</f>
        <v>#REF!</v>
      </c>
      <c r="T1052" s="5" t="s">
        <v>48</v>
      </c>
      <c r="U1052" s="5" t="s">
        <v>48</v>
      </c>
      <c r="V1052" s="15">
        <f>1.5*0.7457</f>
        <v>1.1185499999999999</v>
      </c>
      <c r="W1052" s="5" t="s">
        <v>87</v>
      </c>
      <c r="X1052" s="5" t="s">
        <v>48</v>
      </c>
      <c r="Y1052" s="5" t="s">
        <v>48</v>
      </c>
      <c r="Z1052" s="5" t="s">
        <v>48</v>
      </c>
      <c r="AA1052" s="5"/>
      <c r="AB1052" s="5"/>
      <c r="AC1052" s="5"/>
      <c r="AD1052" s="5"/>
      <c r="AE1052" s="5"/>
      <c r="AF1052" s="5"/>
      <c r="AG1052" s="5"/>
      <c r="AH1052" s="16">
        <f>4372*0.7705</f>
        <v>3368.6259999999997</v>
      </c>
      <c r="AI1052" s="16" t="s">
        <v>68</v>
      </c>
      <c r="AJ1052" s="16"/>
      <c r="AK1052" s="16"/>
      <c r="AL1052" s="16"/>
      <c r="AM1052" s="16">
        <f>AH1052+740*0.7705</f>
        <v>3938.7959999999998</v>
      </c>
      <c r="AN1052" s="5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  <c r="BY1052" s="8"/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/>
      <c r="CK1052" s="8"/>
      <c r="CL1052" s="8"/>
      <c r="CM1052" s="8"/>
      <c r="CN1052" s="8"/>
      <c r="CO1052" s="8"/>
      <c r="CP1052" s="8"/>
      <c r="CQ1052" s="8"/>
      <c r="CR1052" s="8"/>
      <c r="CS1052" s="8"/>
      <c r="CT1052" s="8"/>
      <c r="CU1052" s="8"/>
      <c r="CV1052" s="8"/>
      <c r="CW1052" s="8"/>
      <c r="CX1052" s="8"/>
      <c r="CY1052" s="8"/>
      <c r="CZ1052" s="8"/>
      <c r="DA1052" s="8"/>
      <c r="DB1052" s="8"/>
      <c r="DC1052" s="8"/>
      <c r="DD1052" s="8"/>
      <c r="DE1052" s="8"/>
      <c r="DF1052" s="8"/>
      <c r="DG1052" s="8"/>
      <c r="DH1052" s="8"/>
      <c r="DI1052" s="8"/>
      <c r="DJ1052" s="8"/>
      <c r="DK1052" s="8"/>
      <c r="DL1052" s="8"/>
      <c r="DM1052" s="8"/>
      <c r="DN1052" s="8"/>
      <c r="DO1052" s="8"/>
      <c r="DP1052" s="8"/>
      <c r="DQ1052" s="8"/>
      <c r="DR1052" s="8"/>
      <c r="DS1052" s="8"/>
      <c r="DT1052" s="8"/>
      <c r="DU1052" s="8"/>
      <c r="DV1052" s="8"/>
      <c r="DW1052" s="8"/>
      <c r="DX1052" s="8"/>
      <c r="DY1052" s="8"/>
      <c r="DZ1052" s="8"/>
      <c r="EA1052" s="8"/>
      <c r="EB1052" s="8"/>
      <c r="EC1052" s="8"/>
      <c r="ED1052" s="8"/>
      <c r="EE1052" s="8"/>
      <c r="EF1052" s="8"/>
      <c r="EG1052" s="8"/>
      <c r="EH1052" s="8"/>
      <c r="EI1052" s="8"/>
      <c r="EJ1052" s="8"/>
      <c r="EK1052" s="8"/>
      <c r="EL1052" s="8"/>
      <c r="EM1052" s="8"/>
      <c r="EN1052" s="8"/>
      <c r="EO1052" s="8"/>
      <c r="EP1052" s="8"/>
      <c r="EQ1052" s="8"/>
      <c r="ER1052" s="8"/>
      <c r="ES1052" s="8"/>
      <c r="ET1052" s="8"/>
      <c r="EU1052" s="8"/>
      <c r="EV1052" s="8"/>
      <c r="EW1052" s="8"/>
      <c r="EX1052" s="8"/>
      <c r="EY1052" s="8"/>
      <c r="EZ1052" s="8"/>
      <c r="FA1052" s="8"/>
      <c r="FB1052" s="8"/>
      <c r="FC1052" s="8"/>
      <c r="FD1052" s="8"/>
      <c r="FE1052" s="8"/>
      <c r="FF1052" s="8"/>
      <c r="FG1052" s="8"/>
      <c r="FH1052" s="8"/>
      <c r="FI1052" s="8"/>
      <c r="FJ1052" s="8"/>
      <c r="FK1052" s="8"/>
      <c r="FL1052" s="8"/>
      <c r="FM1052" s="8"/>
      <c r="FN1052" s="8"/>
      <c r="FO1052" s="8"/>
      <c r="FP1052" s="8"/>
      <c r="FQ1052" s="8"/>
      <c r="FR1052" s="8"/>
      <c r="FS1052" s="8"/>
      <c r="FT1052" s="8"/>
      <c r="FU1052" s="8"/>
      <c r="FV1052" s="8"/>
      <c r="FW1052" s="8"/>
      <c r="FX1052" s="8"/>
      <c r="FY1052" s="8"/>
      <c r="FZ1052" s="8"/>
      <c r="GA1052" s="8"/>
      <c r="GB1052" s="8"/>
      <c r="GC1052" s="8"/>
      <c r="GD1052" s="8"/>
      <c r="GE1052" s="8"/>
      <c r="GF1052" s="8"/>
      <c r="GG1052" s="8"/>
      <c r="GH1052" s="8"/>
      <c r="GI1052" s="8"/>
      <c r="GJ1052" s="8"/>
      <c r="GK1052" s="8"/>
      <c r="GL1052" s="8"/>
      <c r="GM1052" s="8"/>
      <c r="GN1052" s="8"/>
      <c r="GO1052" s="8"/>
      <c r="GP1052" s="8"/>
      <c r="GQ1052" s="8"/>
      <c r="GR1052" s="8"/>
      <c r="GS1052" s="8"/>
      <c r="GT1052" s="8"/>
      <c r="GU1052" s="8"/>
      <c r="GV1052" s="8"/>
      <c r="GW1052" s="8"/>
      <c r="GX1052" s="8"/>
      <c r="GY1052" s="8"/>
      <c r="GZ1052" s="8"/>
      <c r="HA1052" s="8"/>
      <c r="HB1052" s="8"/>
      <c r="HC1052" s="8"/>
      <c r="HD1052" s="8"/>
      <c r="HE1052" s="8"/>
      <c r="HF1052" s="8"/>
      <c r="HG1052" s="8"/>
      <c r="HH1052" s="8"/>
      <c r="HI1052" s="8"/>
      <c r="HJ1052" s="8"/>
      <c r="HK1052" s="8"/>
      <c r="HL1052" s="8"/>
      <c r="HM1052" s="8"/>
      <c r="HN1052" s="8"/>
      <c r="HO1052" s="8"/>
      <c r="HP1052" s="8"/>
      <c r="HQ1052" s="8"/>
      <c r="HR1052" s="8"/>
      <c r="HS1052" s="8"/>
      <c r="HT1052" s="8"/>
      <c r="HU1052" s="8"/>
      <c r="HV1052" s="8"/>
      <c r="HW1052" s="8"/>
      <c r="HX1052" s="8"/>
      <c r="HY1052" s="8"/>
      <c r="HZ1052" s="8"/>
      <c r="IA1052" s="8"/>
      <c r="IB1052" s="8"/>
      <c r="IC1052" s="8"/>
      <c r="ID1052" s="8"/>
      <c r="IE1052" s="8"/>
      <c r="IF1052" s="8"/>
    </row>
    <row r="1053" spans="1:240" ht="30" customHeight="1">
      <c r="A1053" s="5">
        <v>1051</v>
      </c>
      <c r="B1053" s="5"/>
      <c r="C1053" s="5"/>
      <c r="D1053" s="5" t="s">
        <v>68</v>
      </c>
      <c r="E1053" s="5" t="e">
        <f>78.75*#REF!</f>
        <v>#REF!</v>
      </c>
      <c r="F1053" s="5" t="s">
        <v>48</v>
      </c>
      <c r="G1053" s="5" t="e">
        <f>74.5*#REF!</f>
        <v>#REF!</v>
      </c>
      <c r="H1053" s="15">
        <f>1313*0.454</f>
        <v>596.10199999999998</v>
      </c>
      <c r="I1053" s="5" t="s">
        <v>13</v>
      </c>
      <c r="J1053" s="15">
        <f>148/4.4</f>
        <v>33.636363636363633</v>
      </c>
      <c r="K1053" s="15">
        <f t="shared" si="29"/>
        <v>5.5560000000000009</v>
      </c>
      <c r="L1053" s="5">
        <v>175.84</v>
      </c>
      <c r="M1053" s="15">
        <f t="shared" si="30"/>
        <v>5.5549999999999997</v>
      </c>
      <c r="N1053" s="5" t="s">
        <v>48</v>
      </c>
      <c r="O1053" s="15">
        <f>11500*1.6978</f>
        <v>19524.7</v>
      </c>
      <c r="P1053" s="5"/>
      <c r="Q1053" s="5"/>
      <c r="R1053" s="5">
        <v>1</v>
      </c>
      <c r="S1053" s="5" t="e">
        <f>38.25*#REF!</f>
        <v>#REF!</v>
      </c>
      <c r="T1053" s="5" t="s">
        <v>48</v>
      </c>
      <c r="U1053" s="5" t="s">
        <v>48</v>
      </c>
      <c r="V1053" s="15">
        <f>1.5*0.7457</f>
        <v>1.1185499999999999</v>
      </c>
      <c r="W1053" s="5" t="s">
        <v>87</v>
      </c>
      <c r="X1053" s="5" t="s">
        <v>48</v>
      </c>
      <c r="Y1053" s="5" t="s">
        <v>48</v>
      </c>
      <c r="Z1053" s="5" t="s">
        <v>48</v>
      </c>
      <c r="AA1053" s="5"/>
      <c r="AB1053" s="5"/>
      <c r="AC1053" s="5"/>
      <c r="AD1053" s="5"/>
      <c r="AE1053" s="5"/>
      <c r="AF1053" s="5"/>
      <c r="AG1053" s="5"/>
      <c r="AH1053" s="16">
        <f>4887*0.7705</f>
        <v>3765.4334999999996</v>
      </c>
      <c r="AI1053" s="16" t="s">
        <v>68</v>
      </c>
      <c r="AJ1053" s="16"/>
      <c r="AK1053" s="16"/>
      <c r="AL1053" s="16"/>
      <c r="AM1053" s="16">
        <f>AH1053+764*0.7705</f>
        <v>4354.0954999999994</v>
      </c>
      <c r="AN1053" s="5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/>
      <c r="CA1053" s="8"/>
      <c r="CB1053" s="8"/>
      <c r="CC1053" s="8"/>
      <c r="CD1053" s="8"/>
      <c r="CE1053" s="8"/>
      <c r="CF1053" s="8"/>
      <c r="CG1053" s="8"/>
      <c r="CH1053" s="8"/>
      <c r="CI1053" s="8"/>
      <c r="CJ1053" s="8"/>
      <c r="CK1053" s="8"/>
      <c r="CL1053" s="8"/>
      <c r="CM1053" s="8"/>
      <c r="CN1053" s="8"/>
      <c r="CO1053" s="8"/>
      <c r="CP1053" s="8"/>
      <c r="CQ1053" s="8"/>
      <c r="CR1053" s="8"/>
      <c r="CS1053" s="8"/>
      <c r="CT1053" s="8"/>
      <c r="CU1053" s="8"/>
      <c r="CV1053" s="8"/>
      <c r="CW1053" s="8"/>
      <c r="CX1053" s="8"/>
      <c r="CY1053" s="8"/>
      <c r="CZ1053" s="8"/>
      <c r="DA1053" s="8"/>
      <c r="DB1053" s="8"/>
      <c r="DC1053" s="8"/>
      <c r="DD1053" s="8"/>
      <c r="DE1053" s="8"/>
      <c r="DF1053" s="8"/>
      <c r="DG1053" s="8"/>
      <c r="DH1053" s="8"/>
      <c r="DI1053" s="8"/>
      <c r="DJ1053" s="8"/>
      <c r="DK1053" s="8"/>
      <c r="DL1053" s="8"/>
      <c r="DM1053" s="8"/>
      <c r="DN1053" s="8"/>
      <c r="DO1053" s="8"/>
      <c r="DP1053" s="8"/>
      <c r="DQ1053" s="8"/>
      <c r="DR1053" s="8"/>
      <c r="DS1053" s="8"/>
      <c r="DT1053" s="8"/>
      <c r="DU1053" s="8"/>
      <c r="DV1053" s="8"/>
      <c r="DW1053" s="8"/>
      <c r="DX1053" s="8"/>
      <c r="DY1053" s="8"/>
      <c r="DZ1053" s="8"/>
      <c r="EA1053" s="8"/>
      <c r="EB1053" s="8"/>
      <c r="EC1053" s="8"/>
      <c r="ED1053" s="8"/>
      <c r="EE1053" s="8"/>
      <c r="EF1053" s="8"/>
      <c r="EG1053" s="8"/>
      <c r="EH1053" s="8"/>
      <c r="EI1053" s="8"/>
      <c r="EJ1053" s="8"/>
      <c r="EK1053" s="8"/>
      <c r="EL1053" s="8"/>
      <c r="EM1053" s="8"/>
      <c r="EN1053" s="8"/>
      <c r="EO1053" s="8"/>
      <c r="EP1053" s="8"/>
      <c r="EQ1053" s="8"/>
      <c r="ER1053" s="8"/>
      <c r="ES1053" s="8"/>
      <c r="ET1053" s="8"/>
      <c r="EU1053" s="8"/>
      <c r="EV1053" s="8"/>
      <c r="EW1053" s="8"/>
      <c r="EX1053" s="8"/>
      <c r="EY1053" s="8"/>
      <c r="EZ1053" s="8"/>
      <c r="FA1053" s="8"/>
      <c r="FB1053" s="8"/>
      <c r="FC1053" s="8"/>
      <c r="FD1053" s="8"/>
      <c r="FE1053" s="8"/>
      <c r="FF1053" s="8"/>
      <c r="FG1053" s="8"/>
      <c r="FH1053" s="8"/>
      <c r="FI1053" s="8"/>
      <c r="FJ1053" s="8"/>
      <c r="FK1053" s="8"/>
      <c r="FL1053" s="8"/>
      <c r="FM1053" s="8"/>
      <c r="FN1053" s="8"/>
      <c r="FO1053" s="8"/>
      <c r="FP1053" s="8"/>
      <c r="FQ1053" s="8"/>
      <c r="FR1053" s="8"/>
      <c r="FS1053" s="8"/>
      <c r="FT1053" s="8"/>
      <c r="FU1053" s="8"/>
      <c r="FV1053" s="8"/>
      <c r="FW1053" s="8"/>
      <c r="FX1053" s="8"/>
      <c r="FY1053" s="8"/>
      <c r="FZ1053" s="8"/>
      <c r="GA1053" s="8"/>
      <c r="GB1053" s="8"/>
      <c r="GC1053" s="8"/>
      <c r="GD1053" s="8"/>
      <c r="GE1053" s="8"/>
      <c r="GF1053" s="8"/>
      <c r="GG1053" s="8"/>
      <c r="GH1053" s="8"/>
      <c r="GI1053" s="8"/>
      <c r="GJ1053" s="8"/>
      <c r="GK1053" s="8"/>
      <c r="GL1053" s="8"/>
      <c r="GM1053" s="8"/>
      <c r="GN1053" s="8"/>
      <c r="GO1053" s="8"/>
      <c r="GP1053" s="8"/>
      <c r="GQ1053" s="8"/>
      <c r="GR1053" s="8"/>
      <c r="GS1053" s="8"/>
      <c r="GT1053" s="8"/>
      <c r="GU1053" s="8"/>
      <c r="GV1053" s="8"/>
      <c r="GW1053" s="8"/>
      <c r="GX1053" s="8"/>
      <c r="GY1053" s="8"/>
      <c r="GZ1053" s="8"/>
      <c r="HA1053" s="8"/>
      <c r="HB1053" s="8"/>
      <c r="HC1053" s="8"/>
      <c r="HD1053" s="8"/>
      <c r="HE1053" s="8"/>
      <c r="HF1053" s="8"/>
      <c r="HG1053" s="8"/>
      <c r="HH1053" s="8"/>
      <c r="HI1053" s="8"/>
      <c r="HJ1053" s="8"/>
      <c r="HK1053" s="8"/>
      <c r="HL1053" s="8"/>
      <c r="HM1053" s="8"/>
      <c r="HN1053" s="8"/>
      <c r="HO1053" s="8"/>
      <c r="HP1053" s="8"/>
      <c r="HQ1053" s="8"/>
      <c r="HR1053" s="8"/>
      <c r="HS1053" s="8"/>
      <c r="HT1053" s="8"/>
      <c r="HU1053" s="8"/>
      <c r="HV1053" s="8"/>
      <c r="HW1053" s="8"/>
      <c r="HX1053" s="8"/>
      <c r="HY1053" s="8"/>
      <c r="HZ1053" s="8"/>
      <c r="IA1053" s="8"/>
      <c r="IB1053" s="8"/>
      <c r="IC1053" s="8"/>
      <c r="ID1053" s="8"/>
      <c r="IE1053" s="8"/>
      <c r="IF1053" s="8"/>
    </row>
    <row r="1054" spans="1:240" ht="30" customHeight="1">
      <c r="A1054" s="5">
        <v>1052</v>
      </c>
      <c r="B1054" s="5"/>
      <c r="C1054" s="5"/>
      <c r="D1054" s="5" t="s">
        <v>68</v>
      </c>
      <c r="E1054" s="5" t="e">
        <f>78.75*#REF!</f>
        <v>#REF!</v>
      </c>
      <c r="F1054" s="5" t="s">
        <v>48</v>
      </c>
      <c r="G1054" s="5" t="e">
        <f>79.13*#REF!</f>
        <v>#REF!</v>
      </c>
      <c r="H1054" s="15">
        <f>1472*0.454</f>
        <v>668.28800000000001</v>
      </c>
      <c r="I1054" s="5" t="s">
        <v>13</v>
      </c>
      <c r="J1054" s="15">
        <f>177/4.4</f>
        <v>40.227272727272727</v>
      </c>
      <c r="K1054" s="15">
        <f t="shared" si="29"/>
        <v>5.5560000000000009</v>
      </c>
      <c r="L1054" s="5">
        <v>211.01</v>
      </c>
      <c r="M1054" s="15">
        <f t="shared" si="30"/>
        <v>5.5549999999999997</v>
      </c>
      <c r="N1054" s="5" t="s">
        <v>48</v>
      </c>
      <c r="O1054" s="15">
        <f>14700*1.6978</f>
        <v>24957.66</v>
      </c>
      <c r="P1054" s="5"/>
      <c r="Q1054" s="5"/>
      <c r="R1054" s="5">
        <v>1</v>
      </c>
      <c r="S1054" s="5" t="e">
        <f>46*#REF!</f>
        <v>#REF!</v>
      </c>
      <c r="T1054" s="5" t="s">
        <v>48</v>
      </c>
      <c r="U1054" s="5" t="s">
        <v>48</v>
      </c>
      <c r="V1054" s="15">
        <f>1.5*0.7457</f>
        <v>1.1185499999999999</v>
      </c>
      <c r="W1054" s="5" t="s">
        <v>87</v>
      </c>
      <c r="X1054" s="5" t="s">
        <v>48</v>
      </c>
      <c r="Y1054" s="5" t="s">
        <v>48</v>
      </c>
      <c r="Z1054" s="5" t="s">
        <v>48</v>
      </c>
      <c r="AA1054" s="5"/>
      <c r="AB1054" s="5"/>
      <c r="AC1054" s="5"/>
      <c r="AD1054" s="5"/>
      <c r="AE1054" s="5"/>
      <c r="AF1054" s="5"/>
      <c r="AG1054" s="5"/>
      <c r="AH1054" s="16">
        <f>5541*0.7705</f>
        <v>4269.3405000000002</v>
      </c>
      <c r="AI1054" s="16" t="s">
        <v>68</v>
      </c>
      <c r="AJ1054" s="16"/>
      <c r="AK1054" s="16"/>
      <c r="AL1054" s="16"/>
      <c r="AM1054" s="16">
        <f>AH1054+959*0.7705</f>
        <v>5008.25</v>
      </c>
      <c r="AN1054" s="5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/>
      <c r="CA1054" s="8"/>
      <c r="CB1054" s="8"/>
      <c r="CC1054" s="8"/>
      <c r="CD1054" s="8"/>
      <c r="CE1054" s="8"/>
      <c r="CF1054" s="8"/>
      <c r="CG1054" s="8"/>
      <c r="CH1054" s="8"/>
      <c r="CI1054" s="8"/>
      <c r="CJ1054" s="8"/>
      <c r="CK1054" s="8"/>
      <c r="CL1054" s="8"/>
      <c r="CM1054" s="8"/>
      <c r="CN1054" s="8"/>
      <c r="CO1054" s="8"/>
      <c r="CP1054" s="8"/>
      <c r="CQ1054" s="8"/>
      <c r="CR1054" s="8"/>
      <c r="CS1054" s="8"/>
      <c r="CT1054" s="8"/>
      <c r="CU1054" s="8"/>
      <c r="CV1054" s="8"/>
      <c r="CW1054" s="8"/>
      <c r="CX1054" s="8"/>
      <c r="CY1054" s="8"/>
      <c r="CZ1054" s="8"/>
      <c r="DA1054" s="8"/>
      <c r="DB1054" s="8"/>
      <c r="DC1054" s="8"/>
      <c r="DD1054" s="8"/>
      <c r="DE1054" s="8"/>
      <c r="DF1054" s="8"/>
      <c r="DG1054" s="8"/>
      <c r="DH1054" s="8"/>
      <c r="DI1054" s="8"/>
      <c r="DJ1054" s="8"/>
      <c r="DK1054" s="8"/>
      <c r="DL1054" s="8"/>
      <c r="DM1054" s="8"/>
      <c r="DN1054" s="8"/>
      <c r="DO1054" s="8"/>
      <c r="DP1054" s="8"/>
      <c r="DQ1054" s="8"/>
      <c r="DR1054" s="8"/>
      <c r="DS1054" s="8"/>
      <c r="DT1054" s="8"/>
      <c r="DU1054" s="8"/>
      <c r="DV1054" s="8"/>
      <c r="DW1054" s="8"/>
      <c r="DX1054" s="8"/>
      <c r="DY1054" s="8"/>
      <c r="DZ1054" s="8"/>
      <c r="EA1054" s="8"/>
      <c r="EB1054" s="8"/>
      <c r="EC1054" s="8"/>
      <c r="ED1054" s="8"/>
      <c r="EE1054" s="8"/>
      <c r="EF1054" s="8"/>
      <c r="EG1054" s="8"/>
      <c r="EH1054" s="8"/>
      <c r="EI1054" s="8"/>
      <c r="EJ1054" s="8"/>
      <c r="EK1054" s="8"/>
      <c r="EL1054" s="8"/>
      <c r="EM1054" s="8"/>
      <c r="EN1054" s="8"/>
      <c r="EO1054" s="8"/>
      <c r="EP1054" s="8"/>
      <c r="EQ1054" s="8"/>
      <c r="ER1054" s="8"/>
      <c r="ES1054" s="8"/>
      <c r="ET1054" s="8"/>
      <c r="EU1054" s="8"/>
      <c r="EV1054" s="8"/>
      <c r="EW1054" s="8"/>
      <c r="EX1054" s="8"/>
      <c r="EY1054" s="8"/>
      <c r="EZ1054" s="8"/>
      <c r="FA1054" s="8"/>
      <c r="FB1054" s="8"/>
      <c r="FC1054" s="8"/>
      <c r="FD1054" s="8"/>
      <c r="FE1054" s="8"/>
      <c r="FF1054" s="8"/>
      <c r="FG1054" s="8"/>
      <c r="FH1054" s="8"/>
      <c r="FI1054" s="8"/>
      <c r="FJ1054" s="8"/>
      <c r="FK1054" s="8"/>
      <c r="FL1054" s="8"/>
      <c r="FM1054" s="8"/>
      <c r="FN1054" s="8"/>
      <c r="FO1054" s="8"/>
      <c r="FP1054" s="8"/>
      <c r="FQ1054" s="8"/>
      <c r="FR1054" s="8"/>
      <c r="FS1054" s="8"/>
      <c r="FT1054" s="8"/>
      <c r="FU1054" s="8"/>
      <c r="FV1054" s="8"/>
      <c r="FW1054" s="8"/>
      <c r="FX1054" s="8"/>
      <c r="FY1054" s="8"/>
      <c r="FZ1054" s="8"/>
      <c r="GA1054" s="8"/>
      <c r="GB1054" s="8"/>
      <c r="GC1054" s="8"/>
      <c r="GD1054" s="8"/>
      <c r="GE1054" s="8"/>
      <c r="GF1054" s="8"/>
      <c r="GG1054" s="8"/>
      <c r="GH1054" s="8"/>
      <c r="GI1054" s="8"/>
      <c r="GJ1054" s="8"/>
      <c r="GK1054" s="8"/>
      <c r="GL1054" s="8"/>
      <c r="GM1054" s="8"/>
      <c r="GN1054" s="8"/>
      <c r="GO1054" s="8"/>
      <c r="GP1054" s="8"/>
      <c r="GQ1054" s="8"/>
      <c r="GR1054" s="8"/>
      <c r="GS1054" s="8"/>
      <c r="GT1054" s="8"/>
      <c r="GU1054" s="8"/>
      <c r="GV1054" s="8"/>
      <c r="GW1054" s="8"/>
      <c r="GX1054" s="8"/>
      <c r="GY1054" s="8"/>
      <c r="GZ1054" s="8"/>
      <c r="HA1054" s="8"/>
      <c r="HB1054" s="8"/>
      <c r="HC1054" s="8"/>
      <c r="HD1054" s="8"/>
      <c r="HE1054" s="8"/>
      <c r="HF1054" s="8"/>
      <c r="HG1054" s="8"/>
      <c r="HH1054" s="8"/>
      <c r="HI1054" s="8"/>
      <c r="HJ1054" s="8"/>
      <c r="HK1054" s="8"/>
      <c r="HL1054" s="8"/>
      <c r="HM1054" s="8"/>
      <c r="HN1054" s="8"/>
      <c r="HO1054" s="8"/>
      <c r="HP1054" s="8"/>
      <c r="HQ1054" s="8"/>
      <c r="HR1054" s="8"/>
      <c r="HS1054" s="8"/>
      <c r="HT1054" s="8"/>
      <c r="HU1054" s="8"/>
      <c r="HV1054" s="8"/>
      <c r="HW1054" s="8"/>
      <c r="HX1054" s="8"/>
      <c r="HY1054" s="8"/>
      <c r="HZ1054" s="8"/>
      <c r="IA1054" s="8"/>
      <c r="IB1054" s="8"/>
      <c r="IC1054" s="8"/>
      <c r="ID1054" s="8"/>
      <c r="IE1054" s="8"/>
      <c r="IF1054" s="8"/>
    </row>
    <row r="1055" spans="1:240" ht="30" customHeight="1">
      <c r="A1055" s="5">
        <v>1053</v>
      </c>
      <c r="B1055" s="5"/>
      <c r="C1055" s="5"/>
      <c r="D1055" s="5" t="s">
        <v>68</v>
      </c>
      <c r="E1055" s="5" t="e">
        <f>78.75*#REF!</f>
        <v>#REF!</v>
      </c>
      <c r="F1055" s="5" t="s">
        <v>48</v>
      </c>
      <c r="G1055" s="5" t="e">
        <f>79.13*#REF!</f>
        <v>#REF!</v>
      </c>
      <c r="H1055" s="15">
        <f>1555*0.454</f>
        <v>705.97</v>
      </c>
      <c r="I1055" s="5" t="s">
        <v>13</v>
      </c>
      <c r="J1055" s="15">
        <f>207/4.4</f>
        <v>47.04545454545454</v>
      </c>
      <c r="K1055" s="15">
        <f t="shared" si="29"/>
        <v>5.5560000000000009</v>
      </c>
      <c r="L1055" s="5">
        <v>246.18</v>
      </c>
      <c r="M1055" s="15">
        <f t="shared" si="30"/>
        <v>5.5549999999999997</v>
      </c>
      <c r="N1055" s="5" t="s">
        <v>48</v>
      </c>
      <c r="O1055" s="15">
        <f>17500*1.6978</f>
        <v>29711.5</v>
      </c>
      <c r="P1055" s="5"/>
      <c r="Q1055" s="5"/>
      <c r="R1055" s="5">
        <v>1</v>
      </c>
      <c r="S1055" s="5" t="e">
        <f>46*#REF!</f>
        <v>#REF!</v>
      </c>
      <c r="T1055" s="5" t="s">
        <v>48</v>
      </c>
      <c r="U1055" s="5" t="s">
        <v>48</v>
      </c>
      <c r="V1055" s="15">
        <f>1.5*0.7457</f>
        <v>1.1185499999999999</v>
      </c>
      <c r="W1055" s="5" t="s">
        <v>87</v>
      </c>
      <c r="X1055" s="5" t="s">
        <v>48</v>
      </c>
      <c r="Y1055" s="5" t="s">
        <v>48</v>
      </c>
      <c r="Z1055" s="5" t="s">
        <v>48</v>
      </c>
      <c r="AA1055" s="5"/>
      <c r="AB1055" s="5"/>
      <c r="AC1055" s="5"/>
      <c r="AD1055" s="5"/>
      <c r="AE1055" s="5"/>
      <c r="AF1055" s="5"/>
      <c r="AG1055" s="5"/>
      <c r="AH1055" s="16">
        <f>6501*0.7705</f>
        <v>5009.0204999999996</v>
      </c>
      <c r="AI1055" s="16" t="s">
        <v>68</v>
      </c>
      <c r="AJ1055" s="16"/>
      <c r="AK1055" s="16"/>
      <c r="AL1055" s="16"/>
      <c r="AM1055" s="16">
        <f>AH1055+1842*0.7705</f>
        <v>6428.2814999999991</v>
      </c>
      <c r="AN1055" s="5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/>
      <c r="CK1055" s="8"/>
      <c r="CL1055" s="8"/>
      <c r="CM1055" s="8"/>
      <c r="CN1055" s="8"/>
      <c r="CO1055" s="8"/>
      <c r="CP1055" s="8"/>
      <c r="CQ1055" s="8"/>
      <c r="CR1055" s="8"/>
      <c r="CS1055" s="8"/>
      <c r="CT1055" s="8"/>
      <c r="CU1055" s="8"/>
      <c r="CV1055" s="8"/>
      <c r="CW1055" s="8"/>
      <c r="CX1055" s="8"/>
      <c r="CY1055" s="8"/>
      <c r="CZ1055" s="8"/>
      <c r="DA1055" s="8"/>
      <c r="DB1055" s="8"/>
      <c r="DC1055" s="8"/>
      <c r="DD1055" s="8"/>
      <c r="DE1055" s="8"/>
      <c r="DF1055" s="8"/>
      <c r="DG1055" s="8"/>
      <c r="DH1055" s="8"/>
      <c r="DI1055" s="8"/>
      <c r="DJ1055" s="8"/>
      <c r="DK1055" s="8"/>
      <c r="DL1055" s="8"/>
      <c r="DM1055" s="8"/>
      <c r="DN1055" s="8"/>
      <c r="DO1055" s="8"/>
      <c r="DP1055" s="8"/>
      <c r="DQ1055" s="8"/>
      <c r="DR1055" s="8"/>
      <c r="DS1055" s="8"/>
      <c r="DT1055" s="8"/>
      <c r="DU1055" s="8"/>
      <c r="DV1055" s="8"/>
      <c r="DW1055" s="8"/>
      <c r="DX1055" s="8"/>
      <c r="DY1055" s="8"/>
      <c r="DZ1055" s="8"/>
      <c r="EA1055" s="8"/>
      <c r="EB1055" s="8"/>
      <c r="EC1055" s="8"/>
      <c r="ED1055" s="8"/>
      <c r="EE1055" s="8"/>
      <c r="EF1055" s="8"/>
      <c r="EG1055" s="8"/>
      <c r="EH1055" s="8"/>
      <c r="EI1055" s="8"/>
      <c r="EJ1055" s="8"/>
      <c r="EK1055" s="8"/>
      <c r="EL1055" s="8"/>
      <c r="EM1055" s="8"/>
      <c r="EN1055" s="8"/>
      <c r="EO1055" s="8"/>
      <c r="EP1055" s="8"/>
      <c r="EQ1055" s="8"/>
      <c r="ER1055" s="8"/>
      <c r="ES1055" s="8"/>
      <c r="ET1055" s="8"/>
      <c r="EU1055" s="8"/>
      <c r="EV1055" s="8"/>
      <c r="EW1055" s="8"/>
      <c r="EX1055" s="8"/>
      <c r="EY1055" s="8"/>
      <c r="EZ1055" s="8"/>
      <c r="FA1055" s="8"/>
      <c r="FB1055" s="8"/>
      <c r="FC1055" s="8"/>
      <c r="FD1055" s="8"/>
      <c r="FE1055" s="8"/>
      <c r="FF1055" s="8"/>
      <c r="FG1055" s="8"/>
      <c r="FH1055" s="8"/>
      <c r="FI1055" s="8"/>
      <c r="FJ1055" s="8"/>
      <c r="FK1055" s="8"/>
      <c r="FL1055" s="8"/>
      <c r="FM1055" s="8"/>
      <c r="FN1055" s="8"/>
      <c r="FO1055" s="8"/>
      <c r="FP1055" s="8"/>
      <c r="FQ1055" s="8"/>
      <c r="FR1055" s="8"/>
      <c r="FS1055" s="8"/>
      <c r="FT1055" s="8"/>
      <c r="FU1055" s="8"/>
      <c r="FV1055" s="8"/>
      <c r="FW1055" s="8"/>
      <c r="FX1055" s="8"/>
      <c r="FY1055" s="8"/>
      <c r="FZ1055" s="8"/>
      <c r="GA1055" s="8"/>
      <c r="GB1055" s="8"/>
      <c r="GC1055" s="8"/>
      <c r="GD1055" s="8"/>
      <c r="GE1055" s="8"/>
      <c r="GF1055" s="8"/>
      <c r="GG1055" s="8"/>
      <c r="GH1055" s="8"/>
      <c r="GI1055" s="8"/>
      <c r="GJ1055" s="8"/>
      <c r="GK1055" s="8"/>
      <c r="GL1055" s="8"/>
      <c r="GM1055" s="8"/>
      <c r="GN1055" s="8"/>
      <c r="GO1055" s="8"/>
      <c r="GP1055" s="8"/>
      <c r="GQ1055" s="8"/>
      <c r="GR1055" s="8"/>
      <c r="GS1055" s="8"/>
      <c r="GT1055" s="8"/>
      <c r="GU1055" s="8"/>
      <c r="GV1055" s="8"/>
      <c r="GW1055" s="8"/>
      <c r="GX1055" s="8"/>
      <c r="GY1055" s="8"/>
      <c r="GZ1055" s="8"/>
      <c r="HA1055" s="8"/>
      <c r="HB1055" s="8"/>
      <c r="HC1055" s="8"/>
      <c r="HD1055" s="8"/>
      <c r="HE1055" s="8"/>
      <c r="HF1055" s="8"/>
      <c r="HG1055" s="8"/>
      <c r="HH1055" s="8"/>
      <c r="HI1055" s="8"/>
      <c r="HJ1055" s="8"/>
      <c r="HK1055" s="8"/>
      <c r="HL1055" s="8"/>
      <c r="HM1055" s="8"/>
      <c r="HN1055" s="8"/>
      <c r="HO1055" s="8"/>
      <c r="HP1055" s="8"/>
      <c r="HQ1055" s="8"/>
      <c r="HR1055" s="8"/>
      <c r="HS1055" s="8"/>
      <c r="HT1055" s="8"/>
      <c r="HU1055" s="8"/>
      <c r="HV1055" s="8"/>
      <c r="HW1055" s="8"/>
      <c r="HX1055" s="8"/>
      <c r="HY1055" s="8"/>
      <c r="HZ1055" s="8"/>
      <c r="IA1055" s="8"/>
      <c r="IB1055" s="8"/>
      <c r="IC1055" s="8"/>
      <c r="ID1055" s="8"/>
      <c r="IE1055" s="8"/>
      <c r="IF1055" s="8"/>
    </row>
    <row r="1056" spans="1:240" ht="30" customHeight="1">
      <c r="A1056" s="5">
        <v>1054</v>
      </c>
      <c r="B1056" s="5"/>
      <c r="C1056" s="5"/>
      <c r="D1056" s="5" t="s">
        <v>68</v>
      </c>
      <c r="E1056" s="5" t="e">
        <f>85.625*#REF!</f>
        <v>#REF!</v>
      </c>
      <c r="F1056" s="5" t="s">
        <v>48</v>
      </c>
      <c r="G1056" s="5" t="e">
        <f>85.07*#REF!</f>
        <v>#REF!</v>
      </c>
      <c r="H1056" s="15">
        <f>1588*0.454</f>
        <v>720.952</v>
      </c>
      <c r="I1056" s="5" t="s">
        <v>13</v>
      </c>
      <c r="J1056" s="15">
        <f>237/4.4</f>
        <v>53.86363636363636</v>
      </c>
      <c r="K1056" s="15">
        <f t="shared" si="29"/>
        <v>5.5560000000000009</v>
      </c>
      <c r="L1056" s="5">
        <v>281.35000000000002</v>
      </c>
      <c r="M1056" s="15">
        <f t="shared" si="30"/>
        <v>5.5549999999999997</v>
      </c>
      <c r="N1056" s="5" t="s">
        <v>48</v>
      </c>
      <c r="O1056" s="15">
        <f>18900*1.6978</f>
        <v>32088.42</v>
      </c>
      <c r="P1056" s="5"/>
      <c r="Q1056" s="5"/>
      <c r="R1056" s="5">
        <v>1</v>
      </c>
      <c r="S1056" s="5" t="e">
        <f>46*#REF!</f>
        <v>#REF!</v>
      </c>
      <c r="T1056" s="5" t="s">
        <v>48</v>
      </c>
      <c r="U1056" s="5" t="s">
        <v>48</v>
      </c>
      <c r="V1056" s="15">
        <f>2*0.7457</f>
        <v>1.4914000000000001</v>
      </c>
      <c r="W1056" s="5" t="s">
        <v>87</v>
      </c>
      <c r="X1056" s="5" t="s">
        <v>48</v>
      </c>
      <c r="Y1056" s="5" t="s">
        <v>48</v>
      </c>
      <c r="Z1056" s="5" t="s">
        <v>48</v>
      </c>
      <c r="AA1056" s="5"/>
      <c r="AB1056" s="5"/>
      <c r="AC1056" s="5"/>
      <c r="AD1056" s="5"/>
      <c r="AE1056" s="5"/>
      <c r="AF1056" s="5"/>
      <c r="AG1056" s="5"/>
      <c r="AH1056" s="16">
        <f>6992*0.7705</f>
        <v>5387.3359999999993</v>
      </c>
      <c r="AI1056" s="16" t="s">
        <v>68</v>
      </c>
      <c r="AJ1056" s="16"/>
      <c r="AK1056" s="16"/>
      <c r="AL1056" s="16"/>
      <c r="AM1056" s="16">
        <f>AH1056+1904*0.7705</f>
        <v>6854.3679999999995</v>
      </c>
      <c r="AN1056" s="5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/>
      <c r="CA1056" s="8"/>
      <c r="CB1056" s="8"/>
      <c r="CC1056" s="8"/>
      <c r="CD1056" s="8"/>
      <c r="CE1056" s="8"/>
      <c r="CF1056" s="8"/>
      <c r="CG1056" s="8"/>
      <c r="CH1056" s="8"/>
      <c r="CI1056" s="8"/>
      <c r="CJ1056" s="8"/>
      <c r="CK1056" s="8"/>
      <c r="CL1056" s="8"/>
      <c r="CM1056" s="8"/>
      <c r="CN1056" s="8"/>
      <c r="CO1056" s="8"/>
      <c r="CP1056" s="8"/>
      <c r="CQ1056" s="8"/>
      <c r="CR1056" s="8"/>
      <c r="CS1056" s="8"/>
      <c r="CT1056" s="8"/>
      <c r="CU1056" s="8"/>
      <c r="CV1056" s="8"/>
      <c r="CW1056" s="8"/>
      <c r="CX1056" s="8"/>
      <c r="CY1056" s="8"/>
      <c r="CZ1056" s="8"/>
      <c r="DA1056" s="8"/>
      <c r="DB1056" s="8"/>
      <c r="DC1056" s="8"/>
      <c r="DD1056" s="8"/>
      <c r="DE1056" s="8"/>
      <c r="DF1056" s="8"/>
      <c r="DG1056" s="8"/>
      <c r="DH1056" s="8"/>
      <c r="DI1056" s="8"/>
      <c r="DJ1056" s="8"/>
      <c r="DK1056" s="8"/>
      <c r="DL1056" s="8"/>
      <c r="DM1056" s="8"/>
      <c r="DN1056" s="8"/>
      <c r="DO1056" s="8"/>
      <c r="DP1056" s="8"/>
      <c r="DQ1056" s="8"/>
      <c r="DR1056" s="8"/>
      <c r="DS1056" s="8"/>
      <c r="DT1056" s="8"/>
      <c r="DU1056" s="8"/>
      <c r="DV1056" s="8"/>
      <c r="DW1056" s="8"/>
      <c r="DX1056" s="8"/>
      <c r="DY1056" s="8"/>
      <c r="DZ1056" s="8"/>
      <c r="EA1056" s="8"/>
      <c r="EB1056" s="8"/>
      <c r="EC1056" s="8"/>
      <c r="ED1056" s="8"/>
      <c r="EE1056" s="8"/>
      <c r="EF1056" s="8"/>
      <c r="EG1056" s="8"/>
      <c r="EH1056" s="8"/>
      <c r="EI1056" s="8"/>
      <c r="EJ1056" s="8"/>
      <c r="EK1056" s="8"/>
      <c r="EL1056" s="8"/>
      <c r="EM1056" s="8"/>
      <c r="EN1056" s="8"/>
      <c r="EO1056" s="8"/>
      <c r="EP1056" s="8"/>
      <c r="EQ1056" s="8"/>
      <c r="ER1056" s="8"/>
      <c r="ES1056" s="8"/>
      <c r="ET1056" s="8"/>
      <c r="EU1056" s="8"/>
      <c r="EV1056" s="8"/>
      <c r="EW1056" s="8"/>
      <c r="EX1056" s="8"/>
      <c r="EY1056" s="8"/>
      <c r="EZ1056" s="8"/>
      <c r="FA1056" s="8"/>
      <c r="FB1056" s="8"/>
      <c r="FC1056" s="8"/>
      <c r="FD1056" s="8"/>
      <c r="FE1056" s="8"/>
      <c r="FF1056" s="8"/>
      <c r="FG1056" s="8"/>
      <c r="FH1056" s="8"/>
      <c r="FI1056" s="8"/>
      <c r="FJ1056" s="8"/>
      <c r="FK1056" s="8"/>
      <c r="FL1056" s="8"/>
      <c r="FM1056" s="8"/>
      <c r="FN1056" s="8"/>
      <c r="FO1056" s="8"/>
      <c r="FP1056" s="8"/>
      <c r="FQ1056" s="8"/>
      <c r="FR1056" s="8"/>
      <c r="FS1056" s="8"/>
      <c r="FT1056" s="8"/>
      <c r="FU1056" s="8"/>
      <c r="FV1056" s="8"/>
      <c r="FW1056" s="8"/>
      <c r="FX1056" s="8"/>
      <c r="FY1056" s="8"/>
      <c r="FZ1056" s="8"/>
      <c r="GA1056" s="8"/>
      <c r="GB1056" s="8"/>
      <c r="GC1056" s="8"/>
      <c r="GD1056" s="8"/>
      <c r="GE1056" s="8"/>
      <c r="GF1056" s="8"/>
      <c r="GG1056" s="8"/>
      <c r="GH1056" s="8"/>
      <c r="GI1056" s="8"/>
      <c r="GJ1056" s="8"/>
      <c r="GK1056" s="8"/>
      <c r="GL1056" s="8"/>
      <c r="GM1056" s="8"/>
      <c r="GN1056" s="8"/>
      <c r="GO1056" s="8"/>
      <c r="GP1056" s="8"/>
      <c r="GQ1056" s="8"/>
      <c r="GR1056" s="8"/>
      <c r="GS1056" s="8"/>
      <c r="GT1056" s="8"/>
      <c r="GU1056" s="8"/>
      <c r="GV1056" s="8"/>
      <c r="GW1056" s="8"/>
      <c r="GX1056" s="8"/>
      <c r="GY1056" s="8"/>
      <c r="GZ1056" s="8"/>
      <c r="HA1056" s="8"/>
      <c r="HB1056" s="8"/>
      <c r="HC1056" s="8"/>
      <c r="HD1056" s="8"/>
      <c r="HE1056" s="8"/>
      <c r="HF1056" s="8"/>
      <c r="HG1056" s="8"/>
      <c r="HH1056" s="8"/>
      <c r="HI1056" s="8"/>
      <c r="HJ1056" s="8"/>
      <c r="HK1056" s="8"/>
      <c r="HL1056" s="8"/>
      <c r="HM1056" s="8"/>
      <c r="HN1056" s="8"/>
      <c r="HO1056" s="8"/>
      <c r="HP1056" s="8"/>
      <c r="HQ1056" s="8"/>
      <c r="HR1056" s="8"/>
      <c r="HS1056" s="8"/>
      <c r="HT1056" s="8"/>
      <c r="HU1056" s="8"/>
      <c r="HV1056" s="8"/>
      <c r="HW1056" s="8"/>
      <c r="HX1056" s="8"/>
      <c r="HY1056" s="8"/>
      <c r="HZ1056" s="8"/>
      <c r="IA1056" s="8"/>
      <c r="IB1056" s="8"/>
      <c r="IC1056" s="8"/>
      <c r="ID1056" s="8"/>
      <c r="IE1056" s="8"/>
      <c r="IF1056" s="8"/>
    </row>
    <row r="1057" spans="1:240" ht="30" customHeight="1">
      <c r="A1057" s="5">
        <v>1055</v>
      </c>
      <c r="B1057" s="5"/>
      <c r="C1057" s="5"/>
      <c r="D1057" s="5" t="s">
        <v>68</v>
      </c>
      <c r="E1057" s="5" t="e">
        <f>85.625*#REF!</f>
        <v>#REF!</v>
      </c>
      <c r="F1057" s="5" t="s">
        <v>48</v>
      </c>
      <c r="G1057" s="5" t="e">
        <f>87*#REF!</f>
        <v>#REF!</v>
      </c>
      <c r="H1057" s="15">
        <f>2361*0.454</f>
        <v>1071.894</v>
      </c>
      <c r="I1057" s="5" t="s">
        <v>13</v>
      </c>
      <c r="J1057" s="15">
        <f>295/4.4</f>
        <v>67.045454545454547</v>
      </c>
      <c r="K1057" s="15">
        <f t="shared" si="29"/>
        <v>5.5560000000000009</v>
      </c>
      <c r="L1057" s="5">
        <v>351.69</v>
      </c>
      <c r="M1057" s="15">
        <f t="shared" si="30"/>
        <v>5.5549999999999997</v>
      </c>
      <c r="N1057" s="5" t="s">
        <v>48</v>
      </c>
      <c r="O1057" s="15">
        <f>24500*1.6978</f>
        <v>41596.1</v>
      </c>
      <c r="P1057" s="5"/>
      <c r="Q1057" s="5"/>
      <c r="R1057" s="5">
        <v>1</v>
      </c>
      <c r="S1057" s="5" t="e">
        <f>57.875*#REF!</f>
        <v>#REF!</v>
      </c>
      <c r="T1057" s="5" t="s">
        <v>48</v>
      </c>
      <c r="U1057" s="5" t="s">
        <v>48</v>
      </c>
      <c r="V1057" s="15">
        <f>3*0.7457</f>
        <v>2.2370999999999999</v>
      </c>
      <c r="W1057" s="5" t="s">
        <v>87</v>
      </c>
      <c r="X1057" s="5" t="s">
        <v>48</v>
      </c>
      <c r="Y1057" s="5" t="s">
        <v>48</v>
      </c>
      <c r="Z1057" s="5" t="s">
        <v>48</v>
      </c>
      <c r="AA1057" s="5"/>
      <c r="AB1057" s="5"/>
      <c r="AC1057" s="5"/>
      <c r="AD1057" s="5"/>
      <c r="AE1057" s="5"/>
      <c r="AF1057" s="5"/>
      <c r="AG1057" s="5"/>
      <c r="AH1057" s="16">
        <f>8017*0.7705</f>
        <v>6177.0985000000001</v>
      </c>
      <c r="AI1057" s="16" t="s">
        <v>68</v>
      </c>
      <c r="AJ1057" s="16"/>
      <c r="AK1057" s="16"/>
      <c r="AL1057" s="16"/>
      <c r="AM1057" s="16">
        <f>AH1057+2287*0.7705</f>
        <v>7939.232</v>
      </c>
      <c r="AN1057" s="5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/>
      <c r="CA1057" s="8"/>
      <c r="CB1057" s="8"/>
      <c r="CC1057" s="8"/>
      <c r="CD1057" s="8"/>
      <c r="CE1057" s="8"/>
      <c r="CF1057" s="8"/>
      <c r="CG1057" s="8"/>
      <c r="CH1057" s="8"/>
      <c r="CI1057" s="8"/>
      <c r="CJ1057" s="8"/>
      <c r="CK1057" s="8"/>
      <c r="CL1057" s="8"/>
      <c r="CM1057" s="8"/>
      <c r="CN1057" s="8"/>
      <c r="CO1057" s="8"/>
      <c r="CP1057" s="8"/>
      <c r="CQ1057" s="8"/>
      <c r="CR1057" s="8"/>
      <c r="CS1057" s="8"/>
      <c r="CT1057" s="8"/>
      <c r="CU1057" s="8"/>
      <c r="CV1057" s="8"/>
      <c r="CW1057" s="8"/>
      <c r="CX1057" s="8"/>
      <c r="CY1057" s="8"/>
      <c r="CZ1057" s="8"/>
      <c r="DA1057" s="8"/>
      <c r="DB1057" s="8"/>
      <c r="DC1057" s="8"/>
      <c r="DD1057" s="8"/>
      <c r="DE1057" s="8"/>
      <c r="DF1057" s="8"/>
      <c r="DG1057" s="8"/>
      <c r="DH1057" s="8"/>
      <c r="DI1057" s="8"/>
      <c r="DJ1057" s="8"/>
      <c r="DK1057" s="8"/>
      <c r="DL1057" s="8"/>
      <c r="DM1057" s="8"/>
      <c r="DN1057" s="8"/>
      <c r="DO1057" s="8"/>
      <c r="DP1057" s="8"/>
      <c r="DQ1057" s="8"/>
      <c r="DR1057" s="8"/>
      <c r="DS1057" s="8"/>
      <c r="DT1057" s="8"/>
      <c r="DU1057" s="8"/>
      <c r="DV1057" s="8"/>
      <c r="DW1057" s="8"/>
      <c r="DX1057" s="8"/>
      <c r="DY1057" s="8"/>
      <c r="DZ1057" s="8"/>
      <c r="EA1057" s="8"/>
      <c r="EB1057" s="8"/>
      <c r="EC1057" s="8"/>
      <c r="ED1057" s="8"/>
      <c r="EE1057" s="8"/>
      <c r="EF1057" s="8"/>
      <c r="EG1057" s="8"/>
      <c r="EH1057" s="8"/>
      <c r="EI1057" s="8"/>
      <c r="EJ1057" s="8"/>
      <c r="EK1057" s="8"/>
      <c r="EL1057" s="8"/>
      <c r="EM1057" s="8"/>
      <c r="EN1057" s="8"/>
      <c r="EO1057" s="8"/>
      <c r="EP1057" s="8"/>
      <c r="EQ1057" s="8"/>
      <c r="ER1057" s="8"/>
      <c r="ES1057" s="8"/>
      <c r="ET1057" s="8"/>
      <c r="EU1057" s="8"/>
      <c r="EV1057" s="8"/>
      <c r="EW1057" s="8"/>
      <c r="EX1057" s="8"/>
      <c r="EY1057" s="8"/>
      <c r="EZ1057" s="8"/>
      <c r="FA1057" s="8"/>
      <c r="FB1057" s="8"/>
      <c r="FC1057" s="8"/>
      <c r="FD1057" s="8"/>
      <c r="FE1057" s="8"/>
      <c r="FF1057" s="8"/>
      <c r="FG1057" s="8"/>
      <c r="FH1057" s="8"/>
      <c r="FI1057" s="8"/>
      <c r="FJ1057" s="8"/>
      <c r="FK1057" s="8"/>
      <c r="FL1057" s="8"/>
      <c r="FM1057" s="8"/>
      <c r="FN1057" s="8"/>
      <c r="FO1057" s="8"/>
      <c r="FP1057" s="8"/>
      <c r="FQ1057" s="8"/>
      <c r="FR1057" s="8"/>
      <c r="FS1057" s="8"/>
      <c r="FT1057" s="8"/>
      <c r="FU1057" s="8"/>
      <c r="FV1057" s="8"/>
      <c r="FW1057" s="8"/>
      <c r="FX1057" s="8"/>
      <c r="FY1057" s="8"/>
      <c r="FZ1057" s="8"/>
      <c r="GA1057" s="8"/>
      <c r="GB1057" s="8"/>
      <c r="GC1057" s="8"/>
      <c r="GD1057" s="8"/>
      <c r="GE1057" s="8"/>
      <c r="GF1057" s="8"/>
      <c r="GG1057" s="8"/>
      <c r="GH1057" s="8"/>
      <c r="GI1057" s="8"/>
      <c r="GJ1057" s="8"/>
      <c r="GK1057" s="8"/>
      <c r="GL1057" s="8"/>
      <c r="GM1057" s="8"/>
      <c r="GN1057" s="8"/>
      <c r="GO1057" s="8"/>
      <c r="GP1057" s="8"/>
      <c r="GQ1057" s="8"/>
      <c r="GR1057" s="8"/>
      <c r="GS1057" s="8"/>
      <c r="GT1057" s="8"/>
      <c r="GU1057" s="8"/>
      <c r="GV1057" s="8"/>
      <c r="GW1057" s="8"/>
      <c r="GX1057" s="8"/>
      <c r="GY1057" s="8"/>
      <c r="GZ1057" s="8"/>
      <c r="HA1057" s="8"/>
      <c r="HB1057" s="8"/>
      <c r="HC1057" s="8"/>
      <c r="HD1057" s="8"/>
      <c r="HE1057" s="8"/>
      <c r="HF1057" s="8"/>
      <c r="HG1057" s="8"/>
      <c r="HH1057" s="8"/>
      <c r="HI1057" s="8"/>
      <c r="HJ1057" s="8"/>
      <c r="HK1057" s="8"/>
      <c r="HL1057" s="8"/>
      <c r="HM1057" s="8"/>
      <c r="HN1057" s="8"/>
      <c r="HO1057" s="8"/>
      <c r="HP1057" s="8"/>
      <c r="HQ1057" s="8"/>
      <c r="HR1057" s="8"/>
      <c r="HS1057" s="8"/>
      <c r="HT1057" s="8"/>
      <c r="HU1057" s="8"/>
      <c r="HV1057" s="8"/>
      <c r="HW1057" s="8"/>
      <c r="HX1057" s="8"/>
      <c r="HY1057" s="8"/>
      <c r="HZ1057" s="8"/>
      <c r="IA1057" s="8"/>
      <c r="IB1057" s="8"/>
      <c r="IC1057" s="8"/>
      <c r="ID1057" s="8"/>
      <c r="IE1057" s="8"/>
      <c r="IF1057" s="8"/>
    </row>
    <row r="1058" spans="1:240" ht="30" customHeight="1">
      <c r="A1058" s="5">
        <v>1056</v>
      </c>
      <c r="B1058" s="5"/>
      <c r="C1058" s="5"/>
      <c r="D1058" s="5" t="s">
        <v>68</v>
      </c>
      <c r="E1058" s="5" t="e">
        <f>104.375*#REF!</f>
        <v>#REF!</v>
      </c>
      <c r="F1058" s="5" t="s">
        <v>48</v>
      </c>
      <c r="G1058" s="5" t="e">
        <f>90*#REF!</f>
        <v>#REF!</v>
      </c>
      <c r="H1058" s="15">
        <f>2983*0.454</f>
        <v>1354.2820000000002</v>
      </c>
      <c r="I1058" s="5" t="s">
        <v>13</v>
      </c>
      <c r="J1058" s="15">
        <f>369/4.4</f>
        <v>83.86363636363636</v>
      </c>
      <c r="K1058" s="15">
        <f t="shared" si="29"/>
        <v>5.5560000000000009</v>
      </c>
      <c r="L1058" s="5">
        <v>439.61</v>
      </c>
      <c r="M1058" s="15">
        <f t="shared" si="30"/>
        <v>5.5549999999999997</v>
      </c>
      <c r="N1058" s="5"/>
      <c r="O1058" s="15">
        <f>29060*1.6978</f>
        <v>49338.067999999999</v>
      </c>
      <c r="P1058" s="5"/>
      <c r="Q1058" s="5"/>
      <c r="R1058" s="5">
        <v>1</v>
      </c>
      <c r="S1058" s="5" t="e">
        <f>57.875*#REF!</f>
        <v>#REF!</v>
      </c>
      <c r="T1058" s="5" t="s">
        <v>48</v>
      </c>
      <c r="U1058" s="5" t="s">
        <v>48</v>
      </c>
      <c r="V1058" s="15">
        <f>3*0.7457</f>
        <v>2.2370999999999999</v>
      </c>
      <c r="W1058" s="5" t="s">
        <v>87</v>
      </c>
      <c r="X1058" s="5" t="s">
        <v>48</v>
      </c>
      <c r="Y1058" s="5" t="s">
        <v>48</v>
      </c>
      <c r="Z1058" s="5" t="s">
        <v>48</v>
      </c>
      <c r="AA1058" s="5"/>
      <c r="AB1058" s="5"/>
      <c r="AC1058" s="5"/>
      <c r="AD1058" s="5"/>
      <c r="AE1058" s="5"/>
      <c r="AF1058" s="5"/>
      <c r="AG1058" s="5"/>
      <c r="AH1058" s="16">
        <f>10164*0.7705</f>
        <v>7831.3619999999992</v>
      </c>
      <c r="AI1058" s="16" t="s">
        <v>68</v>
      </c>
      <c r="AJ1058" s="5"/>
      <c r="AK1058" s="5"/>
      <c r="AL1058" s="5"/>
      <c r="AM1058" s="16">
        <f>AH1058+2549*0.7705</f>
        <v>9795.3665000000001</v>
      </c>
      <c r="AN1058" s="5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/>
      <c r="CA1058" s="8"/>
      <c r="CB1058" s="8"/>
      <c r="CC1058" s="8"/>
      <c r="CD1058" s="8"/>
      <c r="CE1058" s="8"/>
      <c r="CF1058" s="8"/>
      <c r="CG1058" s="8"/>
      <c r="CH1058" s="8"/>
      <c r="CI1058" s="8"/>
      <c r="CJ1058" s="8"/>
      <c r="CK1058" s="8"/>
      <c r="CL1058" s="8"/>
      <c r="CM1058" s="8"/>
      <c r="CN1058" s="8"/>
      <c r="CO1058" s="8"/>
      <c r="CP1058" s="8"/>
      <c r="CQ1058" s="8"/>
      <c r="CR1058" s="8"/>
      <c r="CS1058" s="8"/>
      <c r="CT1058" s="8"/>
      <c r="CU1058" s="8"/>
      <c r="CV1058" s="8"/>
      <c r="CW1058" s="8"/>
      <c r="CX1058" s="8"/>
      <c r="CY1058" s="8"/>
      <c r="CZ1058" s="8"/>
      <c r="DA1058" s="8"/>
      <c r="DB1058" s="8"/>
      <c r="DC1058" s="8"/>
      <c r="DD1058" s="8"/>
      <c r="DE1058" s="8"/>
      <c r="DF1058" s="8"/>
      <c r="DG1058" s="8"/>
      <c r="DH1058" s="8"/>
      <c r="DI1058" s="8"/>
      <c r="DJ1058" s="8"/>
      <c r="DK1058" s="8"/>
      <c r="DL1058" s="8"/>
      <c r="DM1058" s="8"/>
      <c r="DN1058" s="8"/>
      <c r="DO1058" s="8"/>
      <c r="DP1058" s="8"/>
      <c r="DQ1058" s="8"/>
      <c r="DR1058" s="8"/>
      <c r="DS1058" s="8"/>
      <c r="DT1058" s="8"/>
      <c r="DU1058" s="8"/>
      <c r="DV1058" s="8"/>
      <c r="DW1058" s="8"/>
      <c r="DX1058" s="8"/>
      <c r="DY1058" s="8"/>
      <c r="DZ1058" s="8"/>
      <c r="EA1058" s="8"/>
      <c r="EB1058" s="8"/>
      <c r="EC1058" s="8"/>
      <c r="ED1058" s="8"/>
      <c r="EE1058" s="8"/>
      <c r="EF1058" s="8"/>
      <c r="EG1058" s="8"/>
      <c r="EH1058" s="8"/>
      <c r="EI1058" s="8"/>
      <c r="EJ1058" s="8"/>
      <c r="EK1058" s="8"/>
      <c r="EL1058" s="8"/>
      <c r="EM1058" s="8"/>
      <c r="EN1058" s="8"/>
      <c r="EO1058" s="8"/>
      <c r="EP1058" s="8"/>
      <c r="EQ1058" s="8"/>
      <c r="ER1058" s="8"/>
      <c r="ES1058" s="8"/>
      <c r="ET1058" s="8"/>
      <c r="EU1058" s="8"/>
      <c r="EV1058" s="8"/>
      <c r="EW1058" s="8"/>
      <c r="EX1058" s="8"/>
      <c r="EY1058" s="8"/>
      <c r="EZ1058" s="8"/>
      <c r="FA1058" s="8"/>
      <c r="FB1058" s="8"/>
      <c r="FC1058" s="8"/>
      <c r="FD1058" s="8"/>
      <c r="FE1058" s="8"/>
      <c r="FF1058" s="8"/>
      <c r="FG1058" s="8"/>
      <c r="FH1058" s="8"/>
      <c r="FI1058" s="8"/>
      <c r="FJ1058" s="8"/>
      <c r="FK1058" s="8"/>
      <c r="FL1058" s="8"/>
      <c r="FM1058" s="8"/>
      <c r="FN1058" s="8"/>
      <c r="FO1058" s="8"/>
      <c r="FP1058" s="8"/>
      <c r="FQ1058" s="8"/>
      <c r="FR1058" s="8"/>
      <c r="FS1058" s="8"/>
      <c r="FT1058" s="8"/>
      <c r="FU1058" s="8"/>
      <c r="FV1058" s="8"/>
      <c r="FW1058" s="8"/>
      <c r="FX1058" s="8"/>
      <c r="FY1058" s="8"/>
      <c r="FZ1058" s="8"/>
      <c r="GA1058" s="8"/>
      <c r="GB1058" s="8"/>
      <c r="GC1058" s="8"/>
      <c r="GD1058" s="8"/>
      <c r="GE1058" s="8"/>
      <c r="GF1058" s="8"/>
      <c r="GG1058" s="8"/>
      <c r="GH1058" s="8"/>
      <c r="GI1058" s="8"/>
      <c r="GJ1058" s="8"/>
      <c r="GK1058" s="8"/>
      <c r="GL1058" s="8"/>
      <c r="GM1058" s="8"/>
      <c r="GN1058" s="8"/>
      <c r="GO1058" s="8"/>
      <c r="GP1058" s="8"/>
      <c r="GQ1058" s="8"/>
      <c r="GR1058" s="8"/>
      <c r="GS1058" s="8"/>
      <c r="GT1058" s="8"/>
      <c r="GU1058" s="8"/>
      <c r="GV1058" s="8"/>
      <c r="GW1058" s="8"/>
      <c r="GX1058" s="8"/>
      <c r="GY1058" s="8"/>
      <c r="GZ1058" s="8"/>
      <c r="HA1058" s="8"/>
      <c r="HB1058" s="8"/>
      <c r="HC1058" s="8"/>
      <c r="HD1058" s="8"/>
      <c r="HE1058" s="8"/>
      <c r="HF1058" s="8"/>
      <c r="HG1058" s="8"/>
      <c r="HH1058" s="8"/>
      <c r="HI1058" s="8"/>
      <c r="HJ1058" s="8"/>
      <c r="HK1058" s="8"/>
      <c r="HL1058" s="8"/>
      <c r="HM1058" s="8"/>
      <c r="HN1058" s="8"/>
      <c r="HO1058" s="8"/>
      <c r="HP1058" s="8"/>
      <c r="HQ1058" s="8"/>
      <c r="HR1058" s="8"/>
      <c r="HS1058" s="8"/>
      <c r="HT1058" s="8"/>
      <c r="HU1058" s="8"/>
      <c r="HV1058" s="8"/>
      <c r="HW1058" s="8"/>
      <c r="HX1058" s="8"/>
      <c r="HY1058" s="8"/>
      <c r="HZ1058" s="8"/>
      <c r="IA1058" s="8"/>
      <c r="IB1058" s="8"/>
      <c r="IC1058" s="8"/>
      <c r="ID1058" s="8"/>
      <c r="IE1058" s="8"/>
      <c r="IF1058" s="8"/>
    </row>
    <row r="1059" spans="1:240" ht="30" customHeight="1">
      <c r="A1059" s="5">
        <v>1057</v>
      </c>
      <c r="B1059" s="5"/>
      <c r="C1059" s="5"/>
      <c r="D1059" s="5" t="s">
        <v>68</v>
      </c>
      <c r="E1059" s="5" t="e">
        <f>120.125*#REF!</f>
        <v>#REF!</v>
      </c>
      <c r="F1059" s="5" t="s">
        <v>48</v>
      </c>
      <c r="G1059" s="5" t="e">
        <f>97.88*#REF!</f>
        <v>#REF!</v>
      </c>
      <c r="H1059" s="15">
        <f>5731*0.454</f>
        <v>2601.8740000000003</v>
      </c>
      <c r="I1059" s="5" t="s">
        <v>13</v>
      </c>
      <c r="J1059" s="15">
        <f>446/4.4</f>
        <v>101.36363636363636</v>
      </c>
      <c r="K1059" s="15">
        <f t="shared" si="29"/>
        <v>5.5560000000000009</v>
      </c>
      <c r="L1059" s="5">
        <v>527.53</v>
      </c>
      <c r="M1059" s="15">
        <f t="shared" si="30"/>
        <v>5.5549999999999997</v>
      </c>
      <c r="N1059" s="5"/>
      <c r="O1059" s="15">
        <f>33260*1.6978</f>
        <v>56468.828000000001</v>
      </c>
      <c r="P1059" s="5"/>
      <c r="Q1059" s="5"/>
      <c r="R1059" s="5">
        <v>1</v>
      </c>
      <c r="S1059" s="5" t="e">
        <f>68.875*#REF!</f>
        <v>#REF!</v>
      </c>
      <c r="T1059" s="5" t="s">
        <v>48</v>
      </c>
      <c r="U1059" s="5" t="s">
        <v>48</v>
      </c>
      <c r="V1059" s="15">
        <f>5*0.7457</f>
        <v>3.7285000000000004</v>
      </c>
      <c r="W1059" s="5" t="s">
        <v>87</v>
      </c>
      <c r="X1059" s="5" t="s">
        <v>48</v>
      </c>
      <c r="Y1059" s="5" t="s">
        <v>48</v>
      </c>
      <c r="Z1059" s="5" t="s">
        <v>48</v>
      </c>
      <c r="AA1059" s="5"/>
      <c r="AB1059" s="5"/>
      <c r="AC1059" s="5"/>
      <c r="AD1059" s="5"/>
      <c r="AE1059" s="5"/>
      <c r="AF1059" s="5"/>
      <c r="AG1059" s="5"/>
      <c r="AH1059" s="16">
        <f>11416*0.7705</f>
        <v>8796.0280000000002</v>
      </c>
      <c r="AI1059" s="16" t="s">
        <v>68</v>
      </c>
      <c r="AJ1059" s="5"/>
      <c r="AK1059" s="5"/>
      <c r="AL1059" s="5"/>
      <c r="AM1059" s="16">
        <f>AH1059+(5709-1541)*0.7705</f>
        <v>12007.472</v>
      </c>
      <c r="AN1059" s="5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/>
      <c r="CA1059" s="8"/>
      <c r="CB1059" s="8"/>
      <c r="CC1059" s="8"/>
      <c r="CD1059" s="8"/>
      <c r="CE1059" s="8"/>
      <c r="CF1059" s="8"/>
      <c r="CG1059" s="8"/>
      <c r="CH1059" s="8"/>
      <c r="CI1059" s="8"/>
      <c r="CJ1059" s="8"/>
      <c r="CK1059" s="8"/>
      <c r="CL1059" s="8"/>
      <c r="CM1059" s="8"/>
      <c r="CN1059" s="8"/>
      <c r="CO1059" s="8"/>
      <c r="CP1059" s="8"/>
      <c r="CQ1059" s="8"/>
      <c r="CR1059" s="8"/>
      <c r="CS1059" s="8"/>
      <c r="CT1059" s="8"/>
      <c r="CU1059" s="8"/>
      <c r="CV1059" s="8"/>
      <c r="CW1059" s="8"/>
      <c r="CX1059" s="8"/>
      <c r="CY1059" s="8"/>
      <c r="CZ1059" s="8"/>
      <c r="DA1059" s="8"/>
      <c r="DB1059" s="8"/>
      <c r="DC1059" s="8"/>
      <c r="DD1059" s="8"/>
      <c r="DE1059" s="8"/>
      <c r="DF1059" s="8"/>
      <c r="DG1059" s="8"/>
      <c r="DH1059" s="8"/>
      <c r="DI1059" s="8"/>
      <c r="DJ1059" s="8"/>
      <c r="DK1059" s="8"/>
      <c r="DL1059" s="8"/>
      <c r="DM1059" s="8"/>
      <c r="DN1059" s="8"/>
      <c r="DO1059" s="8"/>
      <c r="DP1059" s="8"/>
      <c r="DQ1059" s="8"/>
      <c r="DR1059" s="8"/>
      <c r="DS1059" s="8"/>
      <c r="DT1059" s="8"/>
      <c r="DU1059" s="8"/>
      <c r="DV1059" s="8"/>
      <c r="DW1059" s="8"/>
      <c r="DX1059" s="8"/>
      <c r="DY1059" s="8"/>
      <c r="DZ1059" s="8"/>
      <c r="EA1059" s="8"/>
      <c r="EB1059" s="8"/>
      <c r="EC1059" s="8"/>
      <c r="ED1059" s="8"/>
      <c r="EE1059" s="8"/>
      <c r="EF1059" s="8"/>
      <c r="EG1059" s="8"/>
      <c r="EH1059" s="8"/>
      <c r="EI1059" s="8"/>
      <c r="EJ1059" s="8"/>
      <c r="EK1059" s="8"/>
      <c r="EL1059" s="8"/>
      <c r="EM1059" s="8"/>
      <c r="EN1059" s="8"/>
      <c r="EO1059" s="8"/>
      <c r="EP1059" s="8"/>
      <c r="EQ1059" s="8"/>
      <c r="ER1059" s="8"/>
      <c r="ES1059" s="8"/>
      <c r="ET1059" s="8"/>
      <c r="EU1059" s="8"/>
      <c r="EV1059" s="8"/>
      <c r="EW1059" s="8"/>
      <c r="EX1059" s="8"/>
      <c r="EY1059" s="8"/>
      <c r="EZ1059" s="8"/>
      <c r="FA1059" s="8"/>
      <c r="FB1059" s="8"/>
      <c r="FC1059" s="8"/>
      <c r="FD1059" s="8"/>
      <c r="FE1059" s="8"/>
      <c r="FF1059" s="8"/>
      <c r="FG1059" s="8"/>
      <c r="FH1059" s="8"/>
      <c r="FI1059" s="8"/>
      <c r="FJ1059" s="8"/>
      <c r="FK1059" s="8"/>
      <c r="FL1059" s="8"/>
      <c r="FM1059" s="8"/>
      <c r="FN1059" s="8"/>
      <c r="FO1059" s="8"/>
      <c r="FP1059" s="8"/>
      <c r="FQ1059" s="8"/>
      <c r="FR1059" s="8"/>
      <c r="FS1059" s="8"/>
      <c r="FT1059" s="8"/>
      <c r="FU1059" s="8"/>
      <c r="FV1059" s="8"/>
      <c r="FW1059" s="8"/>
      <c r="FX1059" s="8"/>
      <c r="FY1059" s="8"/>
      <c r="FZ1059" s="8"/>
      <c r="GA1059" s="8"/>
      <c r="GB1059" s="8"/>
      <c r="GC1059" s="8"/>
      <c r="GD1059" s="8"/>
      <c r="GE1059" s="8"/>
      <c r="GF1059" s="8"/>
      <c r="GG1059" s="8"/>
      <c r="GH1059" s="8"/>
      <c r="GI1059" s="8"/>
      <c r="GJ1059" s="8"/>
      <c r="GK1059" s="8"/>
      <c r="GL1059" s="8"/>
      <c r="GM1059" s="8"/>
      <c r="GN1059" s="8"/>
      <c r="GO1059" s="8"/>
      <c r="GP1059" s="8"/>
      <c r="GQ1059" s="8"/>
      <c r="GR1059" s="8"/>
      <c r="GS1059" s="8"/>
      <c r="GT1059" s="8"/>
      <c r="GU1059" s="8"/>
      <c r="GV1059" s="8"/>
      <c r="GW1059" s="8"/>
      <c r="GX1059" s="8"/>
      <c r="GY1059" s="8"/>
      <c r="GZ1059" s="8"/>
      <c r="HA1059" s="8"/>
      <c r="HB1059" s="8"/>
      <c r="HC1059" s="8"/>
      <c r="HD1059" s="8"/>
      <c r="HE1059" s="8"/>
      <c r="HF1059" s="8"/>
      <c r="HG1059" s="8"/>
      <c r="HH1059" s="8"/>
      <c r="HI1059" s="8"/>
      <c r="HJ1059" s="8"/>
      <c r="HK1059" s="8"/>
      <c r="HL1059" s="8"/>
      <c r="HM1059" s="8"/>
      <c r="HN1059" s="8"/>
      <c r="HO1059" s="8"/>
      <c r="HP1059" s="8"/>
      <c r="HQ1059" s="8"/>
      <c r="HR1059" s="8"/>
      <c r="HS1059" s="8"/>
      <c r="HT1059" s="8"/>
      <c r="HU1059" s="8"/>
      <c r="HV1059" s="8"/>
      <c r="HW1059" s="8"/>
      <c r="HX1059" s="8"/>
      <c r="HY1059" s="8"/>
      <c r="HZ1059" s="8"/>
      <c r="IA1059" s="8"/>
      <c r="IB1059" s="8"/>
      <c r="IC1059" s="8"/>
      <c r="ID1059" s="8"/>
      <c r="IE1059" s="8"/>
      <c r="IF1059" s="8"/>
    </row>
    <row r="1060" spans="1:240" ht="30" customHeight="1">
      <c r="A1060" s="5">
        <v>1058</v>
      </c>
      <c r="B1060" s="5"/>
      <c r="C1060" s="5"/>
      <c r="D1060" s="5" t="s">
        <v>68</v>
      </c>
      <c r="E1060" s="5" t="e">
        <f>130*#REF!</f>
        <v>#REF!</v>
      </c>
      <c r="F1060" s="5" t="s">
        <v>48</v>
      </c>
      <c r="G1060" s="5" t="e">
        <f>117.75*#REF!</f>
        <v>#REF!</v>
      </c>
      <c r="H1060" s="15">
        <f>5887*0.454</f>
        <v>2672.6979999999999</v>
      </c>
      <c r="I1060" s="5" t="s">
        <v>13</v>
      </c>
      <c r="J1060" s="15">
        <f>518/4.4</f>
        <v>117.72727272727272</v>
      </c>
      <c r="K1060" s="15">
        <f t="shared" si="29"/>
        <v>5.5560000000000009</v>
      </c>
      <c r="L1060" s="5">
        <v>615.45000000000005</v>
      </c>
      <c r="M1060" s="15">
        <f t="shared" si="30"/>
        <v>5.5549999999999997</v>
      </c>
      <c r="N1060" s="5"/>
      <c r="O1060" s="15">
        <f>40250*1.6978</f>
        <v>68336.45</v>
      </c>
      <c r="P1060" s="5"/>
      <c r="Q1060" s="5"/>
      <c r="R1060" s="5">
        <v>1</v>
      </c>
      <c r="S1060" s="5" t="e">
        <f>68.875*#REF!</f>
        <v>#REF!</v>
      </c>
      <c r="T1060" s="5" t="s">
        <v>48</v>
      </c>
      <c r="U1060" s="5" t="s">
        <v>48</v>
      </c>
      <c r="V1060" s="15">
        <f>5*0.7457</f>
        <v>3.7285000000000004</v>
      </c>
      <c r="W1060" s="5" t="s">
        <v>87</v>
      </c>
      <c r="X1060" s="5" t="s">
        <v>48</v>
      </c>
      <c r="Y1060" s="5" t="s">
        <v>48</v>
      </c>
      <c r="Z1060" s="5" t="s">
        <v>48</v>
      </c>
      <c r="AA1060" s="5"/>
      <c r="AB1060" s="5"/>
      <c r="AC1060" s="5"/>
      <c r="AD1060" s="5"/>
      <c r="AE1060" s="5"/>
      <c r="AF1060" s="5"/>
      <c r="AG1060" s="5"/>
      <c r="AH1060" s="16">
        <f>14120*0.7705</f>
        <v>10879.46</v>
      </c>
      <c r="AI1060" s="16" t="s">
        <v>68</v>
      </c>
      <c r="AJ1060" s="5"/>
      <c r="AK1060" s="5"/>
      <c r="AL1060" s="5"/>
      <c r="AM1060" s="16">
        <f>AH1060+(5709-1541)*0.7705</f>
        <v>14090.903999999999</v>
      </c>
      <c r="AN1060" s="5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/>
      <c r="CK1060" s="8"/>
      <c r="CL1060" s="8"/>
      <c r="CM1060" s="8"/>
      <c r="CN1060" s="8"/>
      <c r="CO1060" s="8"/>
      <c r="CP1060" s="8"/>
      <c r="CQ1060" s="8"/>
      <c r="CR1060" s="8"/>
      <c r="CS1060" s="8"/>
      <c r="CT1060" s="8"/>
      <c r="CU1060" s="8"/>
      <c r="CV1060" s="8"/>
      <c r="CW1060" s="8"/>
      <c r="CX1060" s="8"/>
      <c r="CY1060" s="8"/>
      <c r="CZ1060" s="8"/>
      <c r="DA1060" s="8"/>
      <c r="DB1060" s="8"/>
      <c r="DC1060" s="8"/>
      <c r="DD1060" s="8"/>
      <c r="DE1060" s="8"/>
      <c r="DF1060" s="8"/>
      <c r="DG1060" s="8"/>
      <c r="DH1060" s="8"/>
      <c r="DI1060" s="8"/>
      <c r="DJ1060" s="8"/>
      <c r="DK1060" s="8"/>
      <c r="DL1060" s="8"/>
      <c r="DM1060" s="8"/>
      <c r="DN1060" s="8"/>
      <c r="DO1060" s="8"/>
      <c r="DP1060" s="8"/>
      <c r="DQ1060" s="8"/>
      <c r="DR1060" s="8"/>
      <c r="DS1060" s="8"/>
      <c r="DT1060" s="8"/>
      <c r="DU1060" s="8"/>
      <c r="DV1060" s="8"/>
      <c r="DW1060" s="8"/>
      <c r="DX1060" s="8"/>
      <c r="DY1060" s="8"/>
      <c r="DZ1060" s="8"/>
      <c r="EA1060" s="8"/>
      <c r="EB1060" s="8"/>
      <c r="EC1060" s="8"/>
      <c r="ED1060" s="8"/>
      <c r="EE1060" s="8"/>
      <c r="EF1060" s="8"/>
      <c r="EG1060" s="8"/>
      <c r="EH1060" s="8"/>
      <c r="EI1060" s="8"/>
      <c r="EJ1060" s="8"/>
      <c r="EK1060" s="8"/>
      <c r="EL1060" s="8"/>
      <c r="EM1060" s="8"/>
      <c r="EN1060" s="8"/>
      <c r="EO1060" s="8"/>
      <c r="EP1060" s="8"/>
      <c r="EQ1060" s="8"/>
      <c r="ER1060" s="8"/>
      <c r="ES1060" s="8"/>
      <c r="ET1060" s="8"/>
      <c r="EU1060" s="8"/>
      <c r="EV1060" s="8"/>
      <c r="EW1060" s="8"/>
      <c r="EX1060" s="8"/>
      <c r="EY1060" s="8"/>
      <c r="EZ1060" s="8"/>
      <c r="FA1060" s="8"/>
      <c r="FB1060" s="8"/>
      <c r="FC1060" s="8"/>
      <c r="FD1060" s="8"/>
      <c r="FE1060" s="8"/>
      <c r="FF1060" s="8"/>
      <c r="FG1060" s="8"/>
      <c r="FH1060" s="8"/>
      <c r="FI1060" s="8"/>
      <c r="FJ1060" s="8"/>
      <c r="FK1060" s="8"/>
      <c r="FL1060" s="8"/>
      <c r="FM1060" s="8"/>
      <c r="FN1060" s="8"/>
      <c r="FO1060" s="8"/>
      <c r="FP1060" s="8"/>
      <c r="FQ1060" s="8"/>
      <c r="FR1060" s="8"/>
      <c r="FS1060" s="8"/>
      <c r="FT1060" s="8"/>
      <c r="FU1060" s="8"/>
      <c r="FV1060" s="8"/>
      <c r="FW1060" s="8"/>
      <c r="FX1060" s="8"/>
      <c r="FY1060" s="8"/>
      <c r="FZ1060" s="8"/>
      <c r="GA1060" s="8"/>
      <c r="GB1060" s="8"/>
      <c r="GC1060" s="8"/>
      <c r="GD1060" s="8"/>
      <c r="GE1060" s="8"/>
      <c r="GF1060" s="8"/>
      <c r="GG1060" s="8"/>
      <c r="GH1060" s="8"/>
      <c r="GI1060" s="8"/>
      <c r="GJ1060" s="8"/>
      <c r="GK1060" s="8"/>
      <c r="GL1060" s="8"/>
      <c r="GM1060" s="8"/>
      <c r="GN1060" s="8"/>
      <c r="GO1060" s="8"/>
      <c r="GP1060" s="8"/>
      <c r="GQ1060" s="8"/>
      <c r="GR1060" s="8"/>
      <c r="GS1060" s="8"/>
      <c r="GT1060" s="8"/>
      <c r="GU1060" s="8"/>
      <c r="GV1060" s="8"/>
      <c r="GW1060" s="8"/>
      <c r="GX1060" s="8"/>
      <c r="GY1060" s="8"/>
      <c r="GZ1060" s="8"/>
      <c r="HA1060" s="8"/>
      <c r="HB1060" s="8"/>
      <c r="HC1060" s="8"/>
      <c r="HD1060" s="8"/>
      <c r="HE1060" s="8"/>
      <c r="HF1060" s="8"/>
      <c r="HG1060" s="8"/>
      <c r="HH1060" s="8"/>
      <c r="HI1060" s="8"/>
      <c r="HJ1060" s="8"/>
      <c r="HK1060" s="8"/>
      <c r="HL1060" s="8"/>
      <c r="HM1060" s="8"/>
      <c r="HN1060" s="8"/>
      <c r="HO1060" s="8"/>
      <c r="HP1060" s="8"/>
      <c r="HQ1060" s="8"/>
      <c r="HR1060" s="8"/>
      <c r="HS1060" s="8"/>
      <c r="HT1060" s="8"/>
      <c r="HU1060" s="8"/>
      <c r="HV1060" s="8"/>
      <c r="HW1060" s="8"/>
      <c r="HX1060" s="8"/>
      <c r="HY1060" s="8"/>
      <c r="HZ1060" s="8"/>
      <c r="IA1060" s="8"/>
      <c r="IB1060" s="8"/>
      <c r="IC1060" s="8"/>
      <c r="ID1060" s="8"/>
      <c r="IE1060" s="8"/>
      <c r="IF1060" s="8"/>
    </row>
    <row r="1061" spans="1:240" ht="30" customHeight="1">
      <c r="A1061" s="5">
        <v>1059</v>
      </c>
      <c r="B1061" s="5"/>
      <c r="C1061" s="5"/>
      <c r="D1061" s="5" t="s">
        <v>68</v>
      </c>
      <c r="E1061" s="5" t="e">
        <f>148.38*#REF!</f>
        <v>#REF!</v>
      </c>
      <c r="F1061" s="5" t="s">
        <v>48</v>
      </c>
      <c r="G1061" s="5" t="e">
        <f>125.63*#REF!</f>
        <v>#REF!</v>
      </c>
      <c r="H1061" s="15">
        <f>7612*0.454</f>
        <v>3455.848</v>
      </c>
      <c r="I1061" s="5" t="s">
        <v>13</v>
      </c>
      <c r="J1061" s="15">
        <f>592/4.4</f>
        <v>134.54545454545453</v>
      </c>
      <c r="K1061" s="15">
        <f t="shared" si="29"/>
        <v>5.5560000000000009</v>
      </c>
      <c r="L1061" s="5">
        <v>703.37</v>
      </c>
      <c r="M1061" s="15">
        <f t="shared" si="30"/>
        <v>5.5549999999999997</v>
      </c>
      <c r="N1061" s="5"/>
      <c r="O1061" s="15">
        <f>43760*1.6978</f>
        <v>74295.728000000003</v>
      </c>
      <c r="P1061" s="5"/>
      <c r="Q1061" s="5"/>
      <c r="R1061" s="5">
        <v>1</v>
      </c>
      <c r="S1061" s="5" t="e">
        <f>68.875*#REF!</f>
        <v>#REF!</v>
      </c>
      <c r="T1061" s="5" t="s">
        <v>48</v>
      </c>
      <c r="U1061" s="5" t="s">
        <v>48</v>
      </c>
      <c r="V1061" s="15">
        <f>5*0.7457</f>
        <v>3.7285000000000004</v>
      </c>
      <c r="W1061" s="5" t="s">
        <v>87</v>
      </c>
      <c r="X1061" s="5" t="s">
        <v>48</v>
      </c>
      <c r="Y1061" s="5" t="s">
        <v>48</v>
      </c>
      <c r="Z1061" s="5" t="s">
        <v>48</v>
      </c>
      <c r="AA1061" s="5"/>
      <c r="AB1061" s="5"/>
      <c r="AC1061" s="5"/>
      <c r="AD1061" s="5"/>
      <c r="AE1061" s="5"/>
      <c r="AF1061" s="5"/>
      <c r="AG1061" s="5"/>
      <c r="AH1061" s="16">
        <f>15756*0.7705</f>
        <v>12139.998</v>
      </c>
      <c r="AI1061" s="16" t="s">
        <v>68</v>
      </c>
      <c r="AJ1061" s="5"/>
      <c r="AK1061" s="5"/>
      <c r="AL1061" s="5"/>
      <c r="AM1061" s="16">
        <f>AH1061+(6787-1849)*0.7705</f>
        <v>15944.726999999999</v>
      </c>
      <c r="AN1061" s="5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/>
      <c r="CA1061" s="8"/>
      <c r="CB1061" s="8"/>
      <c r="CC1061" s="8"/>
      <c r="CD1061" s="8"/>
      <c r="CE1061" s="8"/>
      <c r="CF1061" s="8"/>
      <c r="CG1061" s="8"/>
      <c r="CH1061" s="8"/>
      <c r="CI1061" s="8"/>
      <c r="CJ1061" s="8"/>
      <c r="CK1061" s="8"/>
      <c r="CL1061" s="8"/>
      <c r="CM1061" s="8"/>
      <c r="CN1061" s="8"/>
      <c r="CO1061" s="8"/>
      <c r="CP1061" s="8"/>
      <c r="CQ1061" s="8"/>
      <c r="CR1061" s="8"/>
      <c r="CS1061" s="8"/>
      <c r="CT1061" s="8"/>
      <c r="CU1061" s="8"/>
      <c r="CV1061" s="8"/>
      <c r="CW1061" s="8"/>
      <c r="CX1061" s="8"/>
      <c r="CY1061" s="8"/>
      <c r="CZ1061" s="8"/>
      <c r="DA1061" s="8"/>
      <c r="DB1061" s="8"/>
      <c r="DC1061" s="8"/>
      <c r="DD1061" s="8"/>
      <c r="DE1061" s="8"/>
      <c r="DF1061" s="8"/>
      <c r="DG1061" s="8"/>
      <c r="DH1061" s="8"/>
      <c r="DI1061" s="8"/>
      <c r="DJ1061" s="8"/>
      <c r="DK1061" s="8"/>
      <c r="DL1061" s="8"/>
      <c r="DM1061" s="8"/>
      <c r="DN1061" s="8"/>
      <c r="DO1061" s="8"/>
      <c r="DP1061" s="8"/>
      <c r="DQ1061" s="8"/>
      <c r="DR1061" s="8"/>
      <c r="DS1061" s="8"/>
      <c r="DT1061" s="8"/>
      <c r="DU1061" s="8"/>
      <c r="DV1061" s="8"/>
      <c r="DW1061" s="8"/>
      <c r="DX1061" s="8"/>
      <c r="DY1061" s="8"/>
      <c r="DZ1061" s="8"/>
      <c r="EA1061" s="8"/>
      <c r="EB1061" s="8"/>
      <c r="EC1061" s="8"/>
      <c r="ED1061" s="8"/>
      <c r="EE1061" s="8"/>
      <c r="EF1061" s="8"/>
      <c r="EG1061" s="8"/>
      <c r="EH1061" s="8"/>
      <c r="EI1061" s="8"/>
      <c r="EJ1061" s="8"/>
      <c r="EK1061" s="8"/>
      <c r="EL1061" s="8"/>
      <c r="EM1061" s="8"/>
      <c r="EN1061" s="8"/>
      <c r="EO1061" s="8"/>
      <c r="EP1061" s="8"/>
      <c r="EQ1061" s="8"/>
      <c r="ER1061" s="8"/>
      <c r="ES1061" s="8"/>
      <c r="ET1061" s="8"/>
      <c r="EU1061" s="8"/>
      <c r="EV1061" s="8"/>
      <c r="EW1061" s="8"/>
      <c r="EX1061" s="8"/>
      <c r="EY1061" s="8"/>
      <c r="EZ1061" s="8"/>
      <c r="FA1061" s="8"/>
      <c r="FB1061" s="8"/>
      <c r="FC1061" s="8"/>
      <c r="FD1061" s="8"/>
      <c r="FE1061" s="8"/>
      <c r="FF1061" s="8"/>
      <c r="FG1061" s="8"/>
      <c r="FH1061" s="8"/>
      <c r="FI1061" s="8"/>
      <c r="FJ1061" s="8"/>
      <c r="FK1061" s="8"/>
      <c r="FL1061" s="8"/>
      <c r="FM1061" s="8"/>
      <c r="FN1061" s="8"/>
      <c r="FO1061" s="8"/>
      <c r="FP1061" s="8"/>
      <c r="FQ1061" s="8"/>
      <c r="FR1061" s="8"/>
      <c r="FS1061" s="8"/>
      <c r="FT1061" s="8"/>
      <c r="FU1061" s="8"/>
      <c r="FV1061" s="8"/>
      <c r="FW1061" s="8"/>
      <c r="FX1061" s="8"/>
      <c r="FY1061" s="8"/>
      <c r="FZ1061" s="8"/>
      <c r="GA1061" s="8"/>
      <c r="GB1061" s="8"/>
      <c r="GC1061" s="8"/>
      <c r="GD1061" s="8"/>
      <c r="GE1061" s="8"/>
      <c r="GF1061" s="8"/>
      <c r="GG1061" s="8"/>
      <c r="GH1061" s="8"/>
      <c r="GI1061" s="8"/>
      <c r="GJ1061" s="8"/>
      <c r="GK1061" s="8"/>
      <c r="GL1061" s="8"/>
      <c r="GM1061" s="8"/>
      <c r="GN1061" s="8"/>
      <c r="GO1061" s="8"/>
      <c r="GP1061" s="8"/>
      <c r="GQ1061" s="8"/>
      <c r="GR1061" s="8"/>
      <c r="GS1061" s="8"/>
      <c r="GT1061" s="8"/>
      <c r="GU1061" s="8"/>
      <c r="GV1061" s="8"/>
      <c r="GW1061" s="8"/>
      <c r="GX1061" s="8"/>
      <c r="GY1061" s="8"/>
      <c r="GZ1061" s="8"/>
      <c r="HA1061" s="8"/>
      <c r="HB1061" s="8"/>
      <c r="HC1061" s="8"/>
      <c r="HD1061" s="8"/>
      <c r="HE1061" s="8"/>
      <c r="HF1061" s="8"/>
      <c r="HG1061" s="8"/>
      <c r="HH1061" s="8"/>
      <c r="HI1061" s="8"/>
      <c r="HJ1061" s="8"/>
      <c r="HK1061" s="8"/>
      <c r="HL1061" s="8"/>
      <c r="HM1061" s="8"/>
      <c r="HN1061" s="8"/>
      <c r="HO1061" s="8"/>
      <c r="HP1061" s="8"/>
      <c r="HQ1061" s="8"/>
      <c r="HR1061" s="8"/>
      <c r="HS1061" s="8"/>
      <c r="HT1061" s="8"/>
      <c r="HU1061" s="8"/>
      <c r="HV1061" s="8"/>
      <c r="HW1061" s="8"/>
      <c r="HX1061" s="8"/>
      <c r="HY1061" s="8"/>
      <c r="HZ1061" s="8"/>
      <c r="IA1061" s="8"/>
      <c r="IB1061" s="8"/>
      <c r="IC1061" s="8"/>
      <c r="ID1061" s="8"/>
      <c r="IE1061" s="8"/>
      <c r="IF1061" s="8"/>
    </row>
    <row r="1062" spans="1:240" ht="30" customHeight="1">
      <c r="A1062" s="5">
        <v>1060</v>
      </c>
      <c r="B1062" s="5"/>
      <c r="C1062" s="5"/>
      <c r="D1062" s="5" t="s">
        <v>68</v>
      </c>
      <c r="E1062" s="5" t="e">
        <f>148.38*#REF!</f>
        <v>#REF!</v>
      </c>
      <c r="F1062" s="5" t="s">
        <v>48</v>
      </c>
      <c r="G1062" s="5" t="e">
        <f>125.63*#REF!</f>
        <v>#REF!</v>
      </c>
      <c r="H1062" s="15">
        <f>7744*0.454</f>
        <v>3515.7760000000003</v>
      </c>
      <c r="I1062" s="5" t="s">
        <v>13</v>
      </c>
      <c r="J1062" s="15">
        <f>656/4.4</f>
        <v>149.09090909090907</v>
      </c>
      <c r="K1062" s="15">
        <f t="shared" si="29"/>
        <v>5.5560000000000009</v>
      </c>
      <c r="L1062" s="5">
        <v>791.29</v>
      </c>
      <c r="M1062" s="15">
        <f t="shared" si="30"/>
        <v>5.5549999999999997</v>
      </c>
      <c r="N1062" s="5"/>
      <c r="O1062" s="15">
        <f>61270*1.6978</f>
        <v>104024.20600000001</v>
      </c>
      <c r="P1062" s="5"/>
      <c r="Q1062" s="5"/>
      <c r="R1062" s="5">
        <v>1</v>
      </c>
      <c r="S1062" s="5" t="e">
        <f>93*#REF!</f>
        <v>#REF!</v>
      </c>
      <c r="T1062" s="5" t="s">
        <v>48</v>
      </c>
      <c r="U1062" s="5" t="s">
        <v>48</v>
      </c>
      <c r="V1062" s="15">
        <f>7.5*0.7457</f>
        <v>5.5927500000000006</v>
      </c>
      <c r="W1062" s="5" t="s">
        <v>87</v>
      </c>
      <c r="X1062" s="5" t="s">
        <v>48</v>
      </c>
      <c r="Y1062" s="5" t="s">
        <v>48</v>
      </c>
      <c r="Z1062" s="5" t="s">
        <v>48</v>
      </c>
      <c r="AA1062" s="5"/>
      <c r="AB1062" s="5"/>
      <c r="AC1062" s="5"/>
      <c r="AD1062" s="5"/>
      <c r="AE1062" s="5"/>
      <c r="AF1062" s="5"/>
      <c r="AG1062" s="5"/>
      <c r="AH1062" s="16">
        <f>18519*0.7705</f>
        <v>14268.889499999999</v>
      </c>
      <c r="AI1062" s="16" t="s">
        <v>68</v>
      </c>
      <c r="AJ1062" s="5"/>
      <c r="AK1062" s="5"/>
      <c r="AL1062" s="5"/>
      <c r="AM1062" s="16">
        <f>AH1062+(7403-1849)*0.7705</f>
        <v>18548.246500000001</v>
      </c>
      <c r="AN1062" s="5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/>
      <c r="CA1062" s="8"/>
      <c r="CB1062" s="8"/>
      <c r="CC1062" s="8"/>
      <c r="CD1062" s="8"/>
      <c r="CE1062" s="8"/>
      <c r="CF1062" s="8"/>
      <c r="CG1062" s="8"/>
      <c r="CH1062" s="8"/>
      <c r="CI1062" s="8"/>
      <c r="CJ1062" s="8"/>
      <c r="CK1062" s="8"/>
      <c r="CL1062" s="8"/>
      <c r="CM1062" s="8"/>
      <c r="CN1062" s="8"/>
      <c r="CO1062" s="8"/>
      <c r="CP1062" s="8"/>
      <c r="CQ1062" s="8"/>
      <c r="CR1062" s="8"/>
      <c r="CS1062" s="8"/>
      <c r="CT1062" s="8"/>
      <c r="CU1062" s="8"/>
      <c r="CV1062" s="8"/>
      <c r="CW1062" s="8"/>
      <c r="CX1062" s="8"/>
      <c r="CY1062" s="8"/>
      <c r="CZ1062" s="8"/>
      <c r="DA1062" s="8"/>
      <c r="DB1062" s="8"/>
      <c r="DC1062" s="8"/>
      <c r="DD1062" s="8"/>
      <c r="DE1062" s="8"/>
      <c r="DF1062" s="8"/>
      <c r="DG1062" s="8"/>
      <c r="DH1062" s="8"/>
      <c r="DI1062" s="8"/>
      <c r="DJ1062" s="8"/>
      <c r="DK1062" s="8"/>
      <c r="DL1062" s="8"/>
      <c r="DM1062" s="8"/>
      <c r="DN1062" s="8"/>
      <c r="DO1062" s="8"/>
      <c r="DP1062" s="8"/>
      <c r="DQ1062" s="8"/>
      <c r="DR1062" s="8"/>
      <c r="DS1062" s="8"/>
      <c r="DT1062" s="8"/>
      <c r="DU1062" s="8"/>
      <c r="DV1062" s="8"/>
      <c r="DW1062" s="8"/>
      <c r="DX1062" s="8"/>
      <c r="DY1062" s="8"/>
      <c r="DZ1062" s="8"/>
      <c r="EA1062" s="8"/>
      <c r="EB1062" s="8"/>
      <c r="EC1062" s="8"/>
      <c r="ED1062" s="8"/>
      <c r="EE1062" s="8"/>
      <c r="EF1062" s="8"/>
      <c r="EG1062" s="8"/>
      <c r="EH1062" s="8"/>
      <c r="EI1062" s="8"/>
      <c r="EJ1062" s="8"/>
      <c r="EK1062" s="8"/>
      <c r="EL1062" s="8"/>
      <c r="EM1062" s="8"/>
      <c r="EN1062" s="8"/>
      <c r="EO1062" s="8"/>
      <c r="EP1062" s="8"/>
      <c r="EQ1062" s="8"/>
      <c r="ER1062" s="8"/>
      <c r="ES1062" s="8"/>
      <c r="ET1062" s="8"/>
      <c r="EU1062" s="8"/>
      <c r="EV1062" s="8"/>
      <c r="EW1062" s="8"/>
      <c r="EX1062" s="8"/>
      <c r="EY1062" s="8"/>
      <c r="EZ1062" s="8"/>
      <c r="FA1062" s="8"/>
      <c r="FB1062" s="8"/>
      <c r="FC1062" s="8"/>
      <c r="FD1062" s="8"/>
      <c r="FE1062" s="8"/>
      <c r="FF1062" s="8"/>
      <c r="FG1062" s="8"/>
      <c r="FH1062" s="8"/>
      <c r="FI1062" s="8"/>
      <c r="FJ1062" s="8"/>
      <c r="FK1062" s="8"/>
      <c r="FL1062" s="8"/>
      <c r="FM1062" s="8"/>
      <c r="FN1062" s="8"/>
      <c r="FO1062" s="8"/>
      <c r="FP1062" s="8"/>
      <c r="FQ1062" s="8"/>
      <c r="FR1062" s="8"/>
      <c r="FS1062" s="8"/>
      <c r="FT1062" s="8"/>
      <c r="FU1062" s="8"/>
      <c r="FV1062" s="8"/>
      <c r="FW1062" s="8"/>
      <c r="FX1062" s="8"/>
      <c r="FY1062" s="8"/>
      <c r="FZ1062" s="8"/>
      <c r="GA1062" s="8"/>
      <c r="GB1062" s="8"/>
      <c r="GC1062" s="8"/>
      <c r="GD1062" s="8"/>
      <c r="GE1062" s="8"/>
      <c r="GF1062" s="8"/>
      <c r="GG1062" s="8"/>
      <c r="GH1062" s="8"/>
      <c r="GI1062" s="8"/>
      <c r="GJ1062" s="8"/>
      <c r="GK1062" s="8"/>
      <c r="GL1062" s="8"/>
      <c r="GM1062" s="8"/>
      <c r="GN1062" s="8"/>
      <c r="GO1062" s="8"/>
      <c r="GP1062" s="8"/>
      <c r="GQ1062" s="8"/>
      <c r="GR1062" s="8"/>
      <c r="GS1062" s="8"/>
      <c r="GT1062" s="8"/>
      <c r="GU1062" s="8"/>
      <c r="GV1062" s="8"/>
      <c r="GW1062" s="8"/>
      <c r="GX1062" s="8"/>
      <c r="GY1062" s="8"/>
      <c r="GZ1062" s="8"/>
      <c r="HA1062" s="8"/>
      <c r="HB1062" s="8"/>
      <c r="HC1062" s="8"/>
      <c r="HD1062" s="8"/>
      <c r="HE1062" s="8"/>
      <c r="HF1062" s="8"/>
      <c r="HG1062" s="8"/>
      <c r="HH1062" s="8"/>
      <c r="HI1062" s="8"/>
      <c r="HJ1062" s="8"/>
      <c r="HK1062" s="8"/>
      <c r="HL1062" s="8"/>
      <c r="HM1062" s="8"/>
      <c r="HN1062" s="8"/>
      <c r="HO1062" s="8"/>
      <c r="HP1062" s="8"/>
      <c r="HQ1062" s="8"/>
      <c r="HR1062" s="8"/>
      <c r="HS1062" s="8"/>
      <c r="HT1062" s="8"/>
      <c r="HU1062" s="8"/>
      <c r="HV1062" s="8"/>
      <c r="HW1062" s="8"/>
      <c r="HX1062" s="8"/>
      <c r="HY1062" s="8"/>
      <c r="HZ1062" s="8"/>
      <c r="IA1062" s="8"/>
      <c r="IB1062" s="8"/>
      <c r="IC1062" s="8"/>
      <c r="ID1062" s="8"/>
      <c r="IE1062" s="8"/>
      <c r="IF1062" s="8"/>
    </row>
    <row r="1063" spans="1:240" ht="30" customHeight="1">
      <c r="A1063" s="5">
        <v>1061</v>
      </c>
      <c r="B1063" s="5"/>
      <c r="C1063" s="5"/>
      <c r="D1063" s="5" t="s">
        <v>68</v>
      </c>
      <c r="E1063" s="5" t="e">
        <f>148.38*#REF!</f>
        <v>#REF!</v>
      </c>
      <c r="F1063" s="5" t="s">
        <v>48</v>
      </c>
      <c r="G1063" s="5" t="e">
        <f>131.88*#REF!</f>
        <v>#REF!</v>
      </c>
      <c r="H1063" s="15">
        <f>7854*0.454</f>
        <v>3565.7159999999999</v>
      </c>
      <c r="I1063" s="5" t="s">
        <v>13</v>
      </c>
      <c r="J1063" s="15">
        <f>737/4.4</f>
        <v>167.5</v>
      </c>
      <c r="K1063" s="15">
        <f t="shared" si="29"/>
        <v>5.5560000000000009</v>
      </c>
      <c r="L1063" s="5">
        <v>879.21</v>
      </c>
      <c r="M1063" s="15">
        <f t="shared" si="30"/>
        <v>5.5549999999999997</v>
      </c>
      <c r="N1063" s="5"/>
      <c r="O1063" s="15">
        <f>61270*1.6978</f>
        <v>104024.20600000001</v>
      </c>
      <c r="P1063" s="5"/>
      <c r="Q1063" s="5"/>
      <c r="R1063" s="5">
        <v>1</v>
      </c>
      <c r="S1063" s="5" t="e">
        <f>93*#REF!</f>
        <v>#REF!</v>
      </c>
      <c r="T1063" s="5" t="s">
        <v>48</v>
      </c>
      <c r="U1063" s="5" t="s">
        <v>48</v>
      </c>
      <c r="V1063" s="15">
        <f>7.5*0.7457</f>
        <v>5.5927500000000006</v>
      </c>
      <c r="W1063" s="5" t="s">
        <v>87</v>
      </c>
      <c r="X1063" s="5" t="s">
        <v>48</v>
      </c>
      <c r="Y1063" s="5" t="s">
        <v>48</v>
      </c>
      <c r="Z1063" s="5" t="s">
        <v>48</v>
      </c>
      <c r="AA1063" s="5"/>
      <c r="AB1063" s="5"/>
      <c r="AC1063" s="5"/>
      <c r="AD1063" s="5"/>
      <c r="AE1063" s="5"/>
      <c r="AF1063" s="5"/>
      <c r="AG1063" s="5"/>
      <c r="AH1063" s="16">
        <f>19680*0.7705</f>
        <v>15163.439999999999</v>
      </c>
      <c r="AI1063" s="16" t="s">
        <v>68</v>
      </c>
      <c r="AJ1063" s="5"/>
      <c r="AK1063" s="5"/>
      <c r="AL1063" s="5"/>
      <c r="AM1063" s="16">
        <f>AH1063+(7511-1849)*0.7705</f>
        <v>19526.010999999999</v>
      </c>
      <c r="AN1063" s="5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  <c r="BY1063" s="8"/>
      <c r="BZ1063" s="8"/>
      <c r="CA1063" s="8"/>
      <c r="CB1063" s="8"/>
      <c r="CC1063" s="8"/>
      <c r="CD1063" s="8"/>
      <c r="CE1063" s="8"/>
      <c r="CF1063" s="8"/>
      <c r="CG1063" s="8"/>
      <c r="CH1063" s="8"/>
      <c r="CI1063" s="8"/>
      <c r="CJ1063" s="8"/>
      <c r="CK1063" s="8"/>
      <c r="CL1063" s="8"/>
      <c r="CM1063" s="8"/>
      <c r="CN1063" s="8"/>
      <c r="CO1063" s="8"/>
      <c r="CP1063" s="8"/>
      <c r="CQ1063" s="8"/>
      <c r="CR1063" s="8"/>
      <c r="CS1063" s="8"/>
      <c r="CT1063" s="8"/>
      <c r="CU1063" s="8"/>
      <c r="CV1063" s="8"/>
      <c r="CW1063" s="8"/>
      <c r="CX1063" s="8"/>
      <c r="CY1063" s="8"/>
      <c r="CZ1063" s="8"/>
      <c r="DA1063" s="8"/>
      <c r="DB1063" s="8"/>
      <c r="DC1063" s="8"/>
      <c r="DD1063" s="8"/>
      <c r="DE1063" s="8"/>
      <c r="DF1063" s="8"/>
      <c r="DG1063" s="8"/>
      <c r="DH1063" s="8"/>
      <c r="DI1063" s="8"/>
      <c r="DJ1063" s="8"/>
      <c r="DK1063" s="8"/>
      <c r="DL1063" s="8"/>
      <c r="DM1063" s="8"/>
      <c r="DN1063" s="8"/>
      <c r="DO1063" s="8"/>
      <c r="DP1063" s="8"/>
      <c r="DQ1063" s="8"/>
      <c r="DR1063" s="8"/>
      <c r="DS1063" s="8"/>
      <c r="DT1063" s="8"/>
      <c r="DU1063" s="8"/>
      <c r="DV1063" s="8"/>
      <c r="DW1063" s="8"/>
      <c r="DX1063" s="8"/>
      <c r="DY1063" s="8"/>
      <c r="DZ1063" s="8"/>
      <c r="EA1063" s="8"/>
      <c r="EB1063" s="8"/>
      <c r="EC1063" s="8"/>
      <c r="ED1063" s="8"/>
      <c r="EE1063" s="8"/>
      <c r="EF1063" s="8"/>
      <c r="EG1063" s="8"/>
      <c r="EH1063" s="8"/>
      <c r="EI1063" s="8"/>
      <c r="EJ1063" s="8"/>
      <c r="EK1063" s="8"/>
      <c r="EL1063" s="8"/>
      <c r="EM1063" s="8"/>
      <c r="EN1063" s="8"/>
      <c r="EO1063" s="8"/>
      <c r="EP1063" s="8"/>
      <c r="EQ1063" s="8"/>
      <c r="ER1063" s="8"/>
      <c r="ES1063" s="8"/>
      <c r="ET1063" s="8"/>
      <c r="EU1063" s="8"/>
      <c r="EV1063" s="8"/>
      <c r="EW1063" s="8"/>
      <c r="EX1063" s="8"/>
      <c r="EY1063" s="8"/>
      <c r="EZ1063" s="8"/>
      <c r="FA1063" s="8"/>
      <c r="FB1063" s="8"/>
      <c r="FC1063" s="8"/>
      <c r="FD1063" s="8"/>
      <c r="FE1063" s="8"/>
      <c r="FF1063" s="8"/>
      <c r="FG1063" s="8"/>
      <c r="FH1063" s="8"/>
      <c r="FI1063" s="8"/>
      <c r="FJ1063" s="8"/>
      <c r="FK1063" s="8"/>
      <c r="FL1063" s="8"/>
      <c r="FM1063" s="8"/>
      <c r="FN1063" s="8"/>
      <c r="FO1063" s="8"/>
      <c r="FP1063" s="8"/>
      <c r="FQ1063" s="8"/>
      <c r="FR1063" s="8"/>
      <c r="FS1063" s="8"/>
      <c r="FT1063" s="8"/>
      <c r="FU1063" s="8"/>
      <c r="FV1063" s="8"/>
      <c r="FW1063" s="8"/>
      <c r="FX1063" s="8"/>
      <c r="FY1063" s="8"/>
      <c r="FZ1063" s="8"/>
      <c r="GA1063" s="8"/>
      <c r="GB1063" s="8"/>
      <c r="GC1063" s="8"/>
      <c r="GD1063" s="8"/>
      <c r="GE1063" s="8"/>
      <c r="GF1063" s="8"/>
      <c r="GG1063" s="8"/>
      <c r="GH1063" s="8"/>
      <c r="GI1063" s="8"/>
      <c r="GJ1063" s="8"/>
      <c r="GK1063" s="8"/>
      <c r="GL1063" s="8"/>
      <c r="GM1063" s="8"/>
      <c r="GN1063" s="8"/>
      <c r="GO1063" s="8"/>
      <c r="GP1063" s="8"/>
      <c r="GQ1063" s="8"/>
      <c r="GR1063" s="8"/>
      <c r="GS1063" s="8"/>
      <c r="GT1063" s="8"/>
      <c r="GU1063" s="8"/>
      <c r="GV1063" s="8"/>
      <c r="GW1063" s="8"/>
      <c r="GX1063" s="8"/>
      <c r="GY1063" s="8"/>
      <c r="GZ1063" s="8"/>
      <c r="HA1063" s="8"/>
      <c r="HB1063" s="8"/>
      <c r="HC1063" s="8"/>
      <c r="HD1063" s="8"/>
      <c r="HE1063" s="8"/>
      <c r="HF1063" s="8"/>
      <c r="HG1063" s="8"/>
      <c r="HH1063" s="8"/>
      <c r="HI1063" s="8"/>
      <c r="HJ1063" s="8"/>
      <c r="HK1063" s="8"/>
      <c r="HL1063" s="8"/>
      <c r="HM1063" s="8"/>
      <c r="HN1063" s="8"/>
      <c r="HO1063" s="8"/>
      <c r="HP1063" s="8"/>
      <c r="HQ1063" s="8"/>
      <c r="HR1063" s="8"/>
      <c r="HS1063" s="8"/>
      <c r="HT1063" s="8"/>
      <c r="HU1063" s="8"/>
      <c r="HV1063" s="8"/>
      <c r="HW1063" s="8"/>
      <c r="HX1063" s="8"/>
      <c r="HY1063" s="8"/>
      <c r="HZ1063" s="8"/>
      <c r="IA1063" s="8"/>
      <c r="IB1063" s="8"/>
      <c r="IC1063" s="8"/>
      <c r="ID1063" s="8"/>
      <c r="IE1063" s="8"/>
      <c r="IF1063" s="8"/>
    </row>
    <row r="1064" spans="1:240" ht="30" customHeight="1">
      <c r="A1064" s="5">
        <v>1062</v>
      </c>
      <c r="B1064" s="5"/>
      <c r="C1064" s="5"/>
      <c r="D1064" s="5" t="s">
        <v>68</v>
      </c>
      <c r="E1064" s="5" t="e">
        <f>174.75*#REF!</f>
        <v>#REF!</v>
      </c>
      <c r="F1064" s="5" t="s">
        <v>48</v>
      </c>
      <c r="G1064" s="5" t="e">
        <f>133.5*#REF!</f>
        <v>#REF!</v>
      </c>
      <c r="H1064" s="15">
        <f>9995*0.454</f>
        <v>4537.7300000000005</v>
      </c>
      <c r="I1064" s="5" t="s">
        <v>13</v>
      </c>
      <c r="J1064" s="15">
        <f>883/4.4</f>
        <v>200.68181818181816</v>
      </c>
      <c r="K1064" s="15">
        <f t="shared" si="29"/>
        <v>5.5560000000000009</v>
      </c>
      <c r="L1064" s="5">
        <v>1055.06</v>
      </c>
      <c r="M1064" s="15">
        <f t="shared" si="30"/>
        <v>5.5549999999999997</v>
      </c>
      <c r="N1064" s="5"/>
      <c r="O1064" s="15">
        <f>77020*1.6978</f>
        <v>130764.556</v>
      </c>
      <c r="P1064" s="5"/>
      <c r="Q1064" s="5"/>
      <c r="R1064" s="5">
        <v>1</v>
      </c>
      <c r="S1064" s="5" t="e">
        <f>93*#REF!</f>
        <v>#REF!</v>
      </c>
      <c r="T1064" s="5" t="s">
        <v>48</v>
      </c>
      <c r="U1064" s="5" t="s">
        <v>48</v>
      </c>
      <c r="V1064" s="15">
        <f>10*0.7457</f>
        <v>7.4570000000000007</v>
      </c>
      <c r="W1064" s="5" t="s">
        <v>87</v>
      </c>
      <c r="X1064" s="5" t="s">
        <v>48</v>
      </c>
      <c r="Y1064" s="5" t="s">
        <v>48</v>
      </c>
      <c r="Z1064" s="5" t="s">
        <v>48</v>
      </c>
      <c r="AA1064" s="5"/>
      <c r="AB1064" s="5"/>
      <c r="AC1064" s="5"/>
      <c r="AD1064" s="5"/>
      <c r="AE1064" s="5"/>
      <c r="AF1064" s="5"/>
      <c r="AG1064" s="5"/>
      <c r="AH1064" s="16">
        <f>23520*0.7705</f>
        <v>18122.16</v>
      </c>
      <c r="AI1064" s="16" t="s">
        <v>68</v>
      </c>
      <c r="AJ1064" s="5"/>
      <c r="AK1064" s="5"/>
      <c r="AL1064" s="5"/>
      <c r="AM1064" s="16">
        <f>AH1064+(9921-2157-770)*0.7705</f>
        <v>23511.037</v>
      </c>
      <c r="AN1064" s="5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  <c r="BY1064" s="8"/>
      <c r="BZ1064" s="8"/>
      <c r="CA1064" s="8"/>
      <c r="CB1064" s="8"/>
      <c r="CC1064" s="8"/>
      <c r="CD1064" s="8"/>
      <c r="CE1064" s="8"/>
      <c r="CF1064" s="8"/>
      <c r="CG1064" s="8"/>
      <c r="CH1064" s="8"/>
      <c r="CI1064" s="8"/>
      <c r="CJ1064" s="8"/>
      <c r="CK1064" s="8"/>
      <c r="CL1064" s="8"/>
      <c r="CM1064" s="8"/>
      <c r="CN1064" s="8"/>
      <c r="CO1064" s="8"/>
      <c r="CP1064" s="8"/>
      <c r="CQ1064" s="8"/>
      <c r="CR1064" s="8"/>
      <c r="CS1064" s="8"/>
      <c r="CT1064" s="8"/>
      <c r="CU1064" s="8"/>
      <c r="CV1064" s="8"/>
      <c r="CW1064" s="8"/>
      <c r="CX1064" s="8"/>
      <c r="CY1064" s="8"/>
      <c r="CZ1064" s="8"/>
      <c r="DA1064" s="8"/>
      <c r="DB1064" s="8"/>
      <c r="DC1064" s="8"/>
      <c r="DD1064" s="8"/>
      <c r="DE1064" s="8"/>
      <c r="DF1064" s="8"/>
      <c r="DG1064" s="8"/>
      <c r="DH1064" s="8"/>
      <c r="DI1064" s="8"/>
      <c r="DJ1064" s="8"/>
      <c r="DK1064" s="8"/>
      <c r="DL1064" s="8"/>
      <c r="DM1064" s="8"/>
      <c r="DN1064" s="8"/>
      <c r="DO1064" s="8"/>
      <c r="DP1064" s="8"/>
      <c r="DQ1064" s="8"/>
      <c r="DR1064" s="8"/>
      <c r="DS1064" s="8"/>
      <c r="DT1064" s="8"/>
      <c r="DU1064" s="8"/>
      <c r="DV1064" s="8"/>
      <c r="DW1064" s="8"/>
      <c r="DX1064" s="8"/>
      <c r="DY1064" s="8"/>
      <c r="DZ1064" s="8"/>
      <c r="EA1064" s="8"/>
      <c r="EB1064" s="8"/>
      <c r="EC1064" s="8"/>
      <c r="ED1064" s="8"/>
      <c r="EE1064" s="8"/>
      <c r="EF1064" s="8"/>
      <c r="EG1064" s="8"/>
      <c r="EH1064" s="8"/>
      <c r="EI1064" s="8"/>
      <c r="EJ1064" s="8"/>
      <c r="EK1064" s="8"/>
      <c r="EL1064" s="8"/>
      <c r="EM1064" s="8"/>
      <c r="EN1064" s="8"/>
      <c r="EO1064" s="8"/>
      <c r="EP1064" s="8"/>
      <c r="EQ1064" s="8"/>
      <c r="ER1064" s="8"/>
      <c r="ES1064" s="8"/>
      <c r="ET1064" s="8"/>
      <c r="EU1064" s="8"/>
      <c r="EV1064" s="8"/>
      <c r="EW1064" s="8"/>
      <c r="EX1064" s="8"/>
      <c r="EY1064" s="8"/>
      <c r="EZ1064" s="8"/>
      <c r="FA1064" s="8"/>
      <c r="FB1064" s="8"/>
      <c r="FC1064" s="8"/>
      <c r="FD1064" s="8"/>
      <c r="FE1064" s="8"/>
      <c r="FF1064" s="8"/>
      <c r="FG1064" s="8"/>
      <c r="FH1064" s="8"/>
      <c r="FI1064" s="8"/>
      <c r="FJ1064" s="8"/>
      <c r="FK1064" s="8"/>
      <c r="FL1064" s="8"/>
      <c r="FM1064" s="8"/>
      <c r="FN1064" s="8"/>
      <c r="FO1064" s="8"/>
      <c r="FP1064" s="8"/>
      <c r="FQ1064" s="8"/>
      <c r="FR1064" s="8"/>
      <c r="FS1064" s="8"/>
      <c r="FT1064" s="8"/>
      <c r="FU1064" s="8"/>
      <c r="FV1064" s="8"/>
      <c r="FW1064" s="8"/>
      <c r="FX1064" s="8"/>
      <c r="FY1064" s="8"/>
      <c r="FZ1064" s="8"/>
      <c r="GA1064" s="8"/>
      <c r="GB1064" s="8"/>
      <c r="GC1064" s="8"/>
      <c r="GD1064" s="8"/>
      <c r="GE1064" s="8"/>
      <c r="GF1064" s="8"/>
      <c r="GG1064" s="8"/>
      <c r="GH1064" s="8"/>
      <c r="GI1064" s="8"/>
      <c r="GJ1064" s="8"/>
      <c r="GK1064" s="8"/>
      <c r="GL1064" s="8"/>
      <c r="GM1064" s="8"/>
      <c r="GN1064" s="8"/>
      <c r="GO1064" s="8"/>
      <c r="GP1064" s="8"/>
      <c r="GQ1064" s="8"/>
      <c r="GR1064" s="8"/>
      <c r="GS1064" s="8"/>
      <c r="GT1064" s="8"/>
      <c r="GU1064" s="8"/>
      <c r="GV1064" s="8"/>
      <c r="GW1064" s="8"/>
      <c r="GX1064" s="8"/>
      <c r="GY1064" s="8"/>
      <c r="GZ1064" s="8"/>
      <c r="HA1064" s="8"/>
      <c r="HB1064" s="8"/>
      <c r="HC1064" s="8"/>
      <c r="HD1064" s="8"/>
      <c r="HE1064" s="8"/>
      <c r="HF1064" s="8"/>
      <c r="HG1064" s="8"/>
      <c r="HH1064" s="8"/>
      <c r="HI1064" s="8"/>
      <c r="HJ1064" s="8"/>
      <c r="HK1064" s="8"/>
      <c r="HL1064" s="8"/>
      <c r="HM1064" s="8"/>
      <c r="HN1064" s="8"/>
      <c r="HO1064" s="8"/>
      <c r="HP1064" s="8"/>
      <c r="HQ1064" s="8"/>
      <c r="HR1064" s="8"/>
      <c r="HS1064" s="8"/>
      <c r="HT1064" s="8"/>
      <c r="HU1064" s="8"/>
      <c r="HV1064" s="8"/>
      <c r="HW1064" s="8"/>
      <c r="HX1064" s="8"/>
      <c r="HY1064" s="8"/>
      <c r="HZ1064" s="8"/>
      <c r="IA1064" s="8"/>
      <c r="IB1064" s="8"/>
      <c r="IC1064" s="8"/>
      <c r="ID1064" s="8"/>
      <c r="IE1064" s="8"/>
      <c r="IF1064" s="8"/>
    </row>
    <row r="1065" spans="1:240" ht="30" customHeight="1">
      <c r="A1065" s="5">
        <v>1063</v>
      </c>
      <c r="B1065" s="5"/>
      <c r="C1065" s="5"/>
      <c r="D1065" s="5" t="s">
        <v>68</v>
      </c>
      <c r="E1065" s="5" t="e">
        <f>188.625*#REF!</f>
        <v>#REF!</v>
      </c>
      <c r="F1065" s="5" t="s">
        <v>48</v>
      </c>
      <c r="G1065" s="5" t="e">
        <f>153.13*#REF!</f>
        <v>#REF!</v>
      </c>
      <c r="H1065" s="15">
        <f>10164*0.454</f>
        <v>4614.4560000000001</v>
      </c>
      <c r="I1065" s="5" t="s">
        <v>13</v>
      </c>
      <c r="J1065" s="15">
        <f>1036/4.4</f>
        <v>235.45454545454544</v>
      </c>
      <c r="K1065" s="15">
        <f t="shared" si="29"/>
        <v>5.5560000000000009</v>
      </c>
      <c r="L1065" s="5">
        <v>1230.9000000000001</v>
      </c>
      <c r="M1065" s="15">
        <f t="shared" si="30"/>
        <v>5.5549999999999997</v>
      </c>
      <c r="N1065" s="5"/>
      <c r="O1065" s="15">
        <f>77020*1.6978</f>
        <v>130764.556</v>
      </c>
      <c r="P1065" s="5"/>
      <c r="Q1065" s="5"/>
      <c r="R1065" s="5">
        <v>1</v>
      </c>
      <c r="S1065" s="5" t="e">
        <f>93*#REF!</f>
        <v>#REF!</v>
      </c>
      <c r="T1065" s="5" t="s">
        <v>48</v>
      </c>
      <c r="U1065" s="5" t="s">
        <v>48</v>
      </c>
      <c r="V1065" s="15">
        <f>10*0.7457</f>
        <v>7.4570000000000007</v>
      </c>
      <c r="W1065" s="5" t="s">
        <v>87</v>
      </c>
      <c r="X1065" s="5" t="s">
        <v>48</v>
      </c>
      <c r="Y1065" s="5" t="s">
        <v>48</v>
      </c>
      <c r="Z1065" s="5" t="s">
        <v>48</v>
      </c>
      <c r="AA1065" s="5"/>
      <c r="AB1065" s="5"/>
      <c r="AC1065" s="5"/>
      <c r="AD1065" s="5"/>
      <c r="AE1065" s="5"/>
      <c r="AF1065" s="5"/>
      <c r="AG1065" s="5"/>
      <c r="AH1065" s="16">
        <f>25575*0.7705</f>
        <v>19705.537499999999</v>
      </c>
      <c r="AI1065" s="16" t="s">
        <v>68</v>
      </c>
      <c r="AJ1065" s="5"/>
      <c r="AK1065" s="5"/>
      <c r="AL1065" s="5"/>
      <c r="AM1065" s="16">
        <f>AH1065+(10229-2311-770)*0.7705</f>
        <v>25213.071499999998</v>
      </c>
      <c r="AN1065" s="5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  <c r="BY1065" s="8"/>
      <c r="BZ1065" s="8"/>
      <c r="CA1065" s="8"/>
      <c r="CB1065" s="8"/>
      <c r="CC1065" s="8"/>
      <c r="CD1065" s="8"/>
      <c r="CE1065" s="8"/>
      <c r="CF1065" s="8"/>
      <c r="CG1065" s="8"/>
      <c r="CH1065" s="8"/>
      <c r="CI1065" s="8"/>
      <c r="CJ1065" s="8"/>
      <c r="CK1065" s="8"/>
      <c r="CL1065" s="8"/>
      <c r="CM1065" s="8"/>
      <c r="CN1065" s="8"/>
      <c r="CO1065" s="8"/>
      <c r="CP1065" s="8"/>
      <c r="CQ1065" s="8"/>
      <c r="CR1065" s="8"/>
      <c r="CS1065" s="8"/>
      <c r="CT1065" s="8"/>
      <c r="CU1065" s="8"/>
      <c r="CV1065" s="8"/>
      <c r="CW1065" s="8"/>
      <c r="CX1065" s="8"/>
      <c r="CY1065" s="8"/>
      <c r="CZ1065" s="8"/>
      <c r="DA1065" s="8"/>
      <c r="DB1065" s="8"/>
      <c r="DC1065" s="8"/>
      <c r="DD1065" s="8"/>
      <c r="DE1065" s="8"/>
      <c r="DF1065" s="8"/>
      <c r="DG1065" s="8"/>
      <c r="DH1065" s="8"/>
      <c r="DI1065" s="8"/>
      <c r="DJ1065" s="8"/>
      <c r="DK1065" s="8"/>
      <c r="DL1065" s="8"/>
      <c r="DM1065" s="8"/>
      <c r="DN1065" s="8"/>
      <c r="DO1065" s="8"/>
      <c r="DP1065" s="8"/>
      <c r="DQ1065" s="8"/>
      <c r="DR1065" s="8"/>
      <c r="DS1065" s="8"/>
      <c r="DT1065" s="8"/>
      <c r="DU1065" s="8"/>
      <c r="DV1065" s="8"/>
      <c r="DW1065" s="8"/>
      <c r="DX1065" s="8"/>
      <c r="DY1065" s="8"/>
      <c r="DZ1065" s="8"/>
      <c r="EA1065" s="8"/>
      <c r="EB1065" s="8"/>
      <c r="EC1065" s="8"/>
      <c r="ED1065" s="8"/>
      <c r="EE1065" s="8"/>
      <c r="EF1065" s="8"/>
      <c r="EG1065" s="8"/>
      <c r="EH1065" s="8"/>
      <c r="EI1065" s="8"/>
      <c r="EJ1065" s="8"/>
      <c r="EK1065" s="8"/>
      <c r="EL1065" s="8"/>
      <c r="EM1065" s="8"/>
      <c r="EN1065" s="8"/>
      <c r="EO1065" s="8"/>
      <c r="EP1065" s="8"/>
      <c r="EQ1065" s="8"/>
      <c r="ER1065" s="8"/>
      <c r="ES1065" s="8"/>
      <c r="ET1065" s="8"/>
      <c r="EU1065" s="8"/>
      <c r="EV1065" s="8"/>
      <c r="EW1065" s="8"/>
      <c r="EX1065" s="8"/>
      <c r="EY1065" s="8"/>
      <c r="EZ1065" s="8"/>
      <c r="FA1065" s="8"/>
      <c r="FB1065" s="8"/>
      <c r="FC1065" s="8"/>
      <c r="FD1065" s="8"/>
      <c r="FE1065" s="8"/>
      <c r="FF1065" s="8"/>
      <c r="FG1065" s="8"/>
      <c r="FH1065" s="8"/>
      <c r="FI1065" s="8"/>
      <c r="FJ1065" s="8"/>
      <c r="FK1065" s="8"/>
      <c r="FL1065" s="8"/>
      <c r="FM1065" s="8"/>
      <c r="FN1065" s="8"/>
      <c r="FO1065" s="8"/>
      <c r="FP1065" s="8"/>
      <c r="FQ1065" s="8"/>
      <c r="FR1065" s="8"/>
      <c r="FS1065" s="8"/>
      <c r="FT1065" s="8"/>
      <c r="FU1065" s="8"/>
      <c r="FV1065" s="8"/>
      <c r="FW1065" s="8"/>
      <c r="FX1065" s="8"/>
      <c r="FY1065" s="8"/>
      <c r="FZ1065" s="8"/>
      <c r="GA1065" s="8"/>
      <c r="GB1065" s="8"/>
      <c r="GC1065" s="8"/>
      <c r="GD1065" s="8"/>
      <c r="GE1065" s="8"/>
      <c r="GF1065" s="8"/>
      <c r="GG1065" s="8"/>
      <c r="GH1065" s="8"/>
      <c r="GI1065" s="8"/>
      <c r="GJ1065" s="8"/>
      <c r="GK1065" s="8"/>
      <c r="GL1065" s="8"/>
      <c r="GM1065" s="8"/>
      <c r="GN1065" s="8"/>
      <c r="GO1065" s="8"/>
      <c r="GP1065" s="8"/>
      <c r="GQ1065" s="8"/>
      <c r="GR1065" s="8"/>
      <c r="GS1065" s="8"/>
      <c r="GT1065" s="8"/>
      <c r="GU1065" s="8"/>
      <c r="GV1065" s="8"/>
      <c r="GW1065" s="8"/>
      <c r="GX1065" s="8"/>
      <c r="GY1065" s="8"/>
      <c r="GZ1065" s="8"/>
      <c r="HA1065" s="8"/>
      <c r="HB1065" s="8"/>
      <c r="HC1065" s="8"/>
      <c r="HD1065" s="8"/>
      <c r="HE1065" s="8"/>
      <c r="HF1065" s="8"/>
      <c r="HG1065" s="8"/>
      <c r="HH1065" s="8"/>
      <c r="HI1065" s="8"/>
      <c r="HJ1065" s="8"/>
      <c r="HK1065" s="8"/>
      <c r="HL1065" s="8"/>
      <c r="HM1065" s="8"/>
      <c r="HN1065" s="8"/>
      <c r="HO1065" s="8"/>
      <c r="HP1065" s="8"/>
      <c r="HQ1065" s="8"/>
      <c r="HR1065" s="8"/>
      <c r="HS1065" s="8"/>
      <c r="HT1065" s="8"/>
      <c r="HU1065" s="8"/>
      <c r="HV1065" s="8"/>
      <c r="HW1065" s="8"/>
      <c r="HX1065" s="8"/>
      <c r="HY1065" s="8"/>
      <c r="HZ1065" s="8"/>
      <c r="IA1065" s="8"/>
      <c r="IB1065" s="8"/>
      <c r="IC1065" s="8"/>
      <c r="ID1065" s="8"/>
      <c r="IE1065" s="8"/>
      <c r="IF1065" s="8"/>
    </row>
    <row r="1066" spans="1:240" ht="30" customHeight="1">
      <c r="A1066" s="5">
        <v>1064</v>
      </c>
      <c r="B1066" s="5"/>
      <c r="C1066" s="5"/>
      <c r="D1066" s="5" t="s">
        <v>68</v>
      </c>
      <c r="E1066" s="5" t="e">
        <f>203.875*#REF!</f>
        <v>#REF!</v>
      </c>
      <c r="F1066" s="5" t="s">
        <v>48</v>
      </c>
      <c r="G1066" s="5" t="e">
        <f>153.13*#REF!</f>
        <v>#REF!</v>
      </c>
      <c r="H1066" s="15">
        <f>14984*0.454</f>
        <v>6802.7359999999999</v>
      </c>
      <c r="I1066" s="5" t="s">
        <v>13</v>
      </c>
      <c r="J1066" s="15">
        <f>1190/4.4</f>
        <v>270.45454545454544</v>
      </c>
      <c r="K1066" s="15">
        <f t="shared" si="29"/>
        <v>5.5560000000000009</v>
      </c>
      <c r="L1066" s="5">
        <v>1406.74</v>
      </c>
      <c r="M1066" s="15">
        <f t="shared" si="30"/>
        <v>5.5549999999999997</v>
      </c>
      <c r="N1066" s="5"/>
      <c r="O1066" s="15">
        <f>91030*1.6978</f>
        <v>154550.734</v>
      </c>
      <c r="P1066" s="5"/>
      <c r="Q1066" s="5"/>
      <c r="R1066" s="5">
        <v>1</v>
      </c>
      <c r="S1066" s="5" t="e">
        <f>117*#REF!</f>
        <v>#REF!</v>
      </c>
      <c r="T1066" s="5" t="s">
        <v>48</v>
      </c>
      <c r="U1066" s="5" t="s">
        <v>48</v>
      </c>
      <c r="V1066" s="15">
        <f>15*0.7457</f>
        <v>11.185500000000001</v>
      </c>
      <c r="W1066" s="5" t="s">
        <v>87</v>
      </c>
      <c r="X1066" s="5" t="s">
        <v>48</v>
      </c>
      <c r="Y1066" s="5" t="s">
        <v>48</v>
      </c>
      <c r="Z1066" s="5" t="s">
        <v>48</v>
      </c>
      <c r="AA1066" s="5"/>
      <c r="AB1066" s="5"/>
      <c r="AC1066" s="5"/>
      <c r="AD1066" s="5"/>
      <c r="AE1066" s="5"/>
      <c r="AF1066" s="5"/>
      <c r="AG1066" s="5"/>
      <c r="AH1066" s="16">
        <f>33207*0.7705</f>
        <v>25585.9935</v>
      </c>
      <c r="AI1066" s="16" t="s">
        <v>68</v>
      </c>
      <c r="AJ1066" s="5"/>
      <c r="AK1066" s="5"/>
      <c r="AL1066" s="5"/>
      <c r="AM1066" s="16">
        <f>AH1066+(19641-4776-2465-739)*0.7705</f>
        <v>34570.794000000002</v>
      </c>
      <c r="AN1066" s="5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  <c r="BY1066" s="8"/>
      <c r="BZ1066" s="8"/>
      <c r="CA1066" s="8"/>
      <c r="CB1066" s="8"/>
      <c r="CC1066" s="8"/>
      <c r="CD1066" s="8"/>
      <c r="CE1066" s="8"/>
      <c r="CF1066" s="8"/>
      <c r="CG1066" s="8"/>
      <c r="CH1066" s="8"/>
      <c r="CI1066" s="8"/>
      <c r="CJ1066" s="8"/>
      <c r="CK1066" s="8"/>
      <c r="CL1066" s="8"/>
      <c r="CM1066" s="8"/>
      <c r="CN1066" s="8"/>
      <c r="CO1066" s="8"/>
      <c r="CP1066" s="8"/>
      <c r="CQ1066" s="8"/>
      <c r="CR1066" s="8"/>
      <c r="CS1066" s="8"/>
      <c r="CT1066" s="8"/>
      <c r="CU1066" s="8"/>
      <c r="CV1066" s="8"/>
      <c r="CW1066" s="8"/>
      <c r="CX1066" s="8"/>
      <c r="CY1066" s="8"/>
      <c r="CZ1066" s="8"/>
      <c r="DA1066" s="8"/>
      <c r="DB1066" s="8"/>
      <c r="DC1066" s="8"/>
      <c r="DD1066" s="8"/>
      <c r="DE1066" s="8"/>
      <c r="DF1066" s="8"/>
      <c r="DG1066" s="8"/>
      <c r="DH1066" s="8"/>
      <c r="DI1066" s="8"/>
      <c r="DJ1066" s="8"/>
      <c r="DK1066" s="8"/>
      <c r="DL1066" s="8"/>
      <c r="DM1066" s="8"/>
      <c r="DN1066" s="8"/>
      <c r="DO1066" s="8"/>
      <c r="DP1066" s="8"/>
      <c r="DQ1066" s="8"/>
      <c r="DR1066" s="8"/>
      <c r="DS1066" s="8"/>
      <c r="DT1066" s="8"/>
      <c r="DU1066" s="8"/>
      <c r="DV1066" s="8"/>
      <c r="DW1066" s="8"/>
      <c r="DX1066" s="8"/>
      <c r="DY1066" s="8"/>
      <c r="DZ1066" s="8"/>
      <c r="EA1066" s="8"/>
      <c r="EB1066" s="8"/>
      <c r="EC1066" s="8"/>
      <c r="ED1066" s="8"/>
      <c r="EE1066" s="8"/>
      <c r="EF1066" s="8"/>
      <c r="EG1066" s="8"/>
      <c r="EH1066" s="8"/>
      <c r="EI1066" s="8"/>
      <c r="EJ1066" s="8"/>
      <c r="EK1066" s="8"/>
      <c r="EL1066" s="8"/>
      <c r="EM1066" s="8"/>
      <c r="EN1066" s="8"/>
      <c r="EO1066" s="8"/>
      <c r="EP1066" s="8"/>
      <c r="EQ1066" s="8"/>
      <c r="ER1066" s="8"/>
      <c r="ES1066" s="8"/>
      <c r="ET1066" s="8"/>
      <c r="EU1066" s="8"/>
      <c r="EV1066" s="8"/>
      <c r="EW1066" s="8"/>
      <c r="EX1066" s="8"/>
      <c r="EY1066" s="8"/>
      <c r="EZ1066" s="8"/>
      <c r="FA1066" s="8"/>
      <c r="FB1066" s="8"/>
      <c r="FC1066" s="8"/>
      <c r="FD1066" s="8"/>
      <c r="FE1066" s="8"/>
      <c r="FF1066" s="8"/>
      <c r="FG1066" s="8"/>
      <c r="FH1066" s="8"/>
      <c r="FI1066" s="8"/>
      <c r="FJ1066" s="8"/>
      <c r="FK1066" s="8"/>
      <c r="FL1066" s="8"/>
      <c r="FM1066" s="8"/>
      <c r="FN1066" s="8"/>
      <c r="FO1066" s="8"/>
      <c r="FP1066" s="8"/>
      <c r="FQ1066" s="8"/>
      <c r="FR1066" s="8"/>
      <c r="FS1066" s="8"/>
      <c r="FT1066" s="8"/>
      <c r="FU1066" s="8"/>
      <c r="FV1066" s="8"/>
      <c r="FW1066" s="8"/>
      <c r="FX1066" s="8"/>
      <c r="FY1066" s="8"/>
      <c r="FZ1066" s="8"/>
      <c r="GA1066" s="8"/>
      <c r="GB1066" s="8"/>
      <c r="GC1066" s="8"/>
      <c r="GD1066" s="8"/>
      <c r="GE1066" s="8"/>
      <c r="GF1066" s="8"/>
      <c r="GG1066" s="8"/>
      <c r="GH1066" s="8"/>
      <c r="GI1066" s="8"/>
      <c r="GJ1066" s="8"/>
      <c r="GK1066" s="8"/>
      <c r="GL1066" s="8"/>
      <c r="GM1066" s="8"/>
      <c r="GN1066" s="8"/>
      <c r="GO1066" s="8"/>
      <c r="GP1066" s="8"/>
      <c r="GQ1066" s="8"/>
      <c r="GR1066" s="8"/>
      <c r="GS1066" s="8"/>
      <c r="GT1066" s="8"/>
      <c r="GU1066" s="8"/>
      <c r="GV1066" s="8"/>
      <c r="GW1066" s="8"/>
      <c r="GX1066" s="8"/>
      <c r="GY1066" s="8"/>
      <c r="GZ1066" s="8"/>
      <c r="HA1066" s="8"/>
      <c r="HB1066" s="8"/>
      <c r="HC1066" s="8"/>
      <c r="HD1066" s="8"/>
      <c r="HE1066" s="8"/>
      <c r="HF1066" s="8"/>
      <c r="HG1066" s="8"/>
      <c r="HH1066" s="8"/>
      <c r="HI1066" s="8"/>
      <c r="HJ1066" s="8"/>
      <c r="HK1066" s="8"/>
      <c r="HL1066" s="8"/>
      <c r="HM1066" s="8"/>
      <c r="HN1066" s="8"/>
      <c r="HO1066" s="8"/>
      <c r="HP1066" s="8"/>
      <c r="HQ1066" s="8"/>
      <c r="HR1066" s="8"/>
      <c r="HS1066" s="8"/>
      <c r="HT1066" s="8"/>
      <c r="HU1066" s="8"/>
      <c r="HV1066" s="8"/>
      <c r="HW1066" s="8"/>
      <c r="HX1066" s="8"/>
      <c r="HY1066" s="8"/>
      <c r="HZ1066" s="8"/>
      <c r="IA1066" s="8"/>
      <c r="IB1066" s="8"/>
      <c r="IC1066" s="8"/>
      <c r="ID1066" s="8"/>
      <c r="IE1066" s="8"/>
      <c r="IF1066" s="8"/>
    </row>
    <row r="1067" spans="1:240" ht="30" customHeight="1">
      <c r="A1067" s="5">
        <v>1065</v>
      </c>
      <c r="B1067" s="5"/>
      <c r="C1067" s="5"/>
      <c r="D1067" s="5" t="s">
        <v>68</v>
      </c>
      <c r="E1067" s="5" t="e">
        <f>219.625*#REF!</f>
        <v>#REF!</v>
      </c>
      <c r="F1067" s="5" t="s">
        <v>48</v>
      </c>
      <c r="G1067" s="5" t="e">
        <f>154.69*#REF!</f>
        <v>#REF!</v>
      </c>
      <c r="H1067" s="15">
        <f>15550*0.454</f>
        <v>7059.7</v>
      </c>
      <c r="I1067" s="5" t="s">
        <v>13</v>
      </c>
      <c r="J1067" s="15">
        <f>1505/4.4</f>
        <v>342.0454545454545</v>
      </c>
      <c r="K1067" s="15">
        <f t="shared" si="29"/>
        <v>5.5560000000000009</v>
      </c>
      <c r="L1067" s="5">
        <v>1758.43</v>
      </c>
      <c r="M1067" s="15">
        <f t="shared" si="30"/>
        <v>5.5549999999999997</v>
      </c>
      <c r="N1067" s="5"/>
      <c r="O1067" s="15">
        <f>91030*1.6978</f>
        <v>154550.734</v>
      </c>
      <c r="P1067" s="5"/>
      <c r="Q1067" s="5"/>
      <c r="R1067" s="5">
        <v>1</v>
      </c>
      <c r="S1067" s="5" t="e">
        <f>117*#REF!</f>
        <v>#REF!</v>
      </c>
      <c r="T1067" s="5" t="s">
        <v>48</v>
      </c>
      <c r="U1067" s="5" t="s">
        <v>48</v>
      </c>
      <c r="V1067" s="15">
        <f>15*0.7457</f>
        <v>11.185500000000001</v>
      </c>
      <c r="W1067" s="5" t="s">
        <v>87</v>
      </c>
      <c r="X1067" s="5" t="s">
        <v>48</v>
      </c>
      <c r="Y1067" s="5" t="s">
        <v>48</v>
      </c>
      <c r="Z1067" s="5" t="s">
        <v>48</v>
      </c>
      <c r="AA1067" s="5"/>
      <c r="AB1067" s="5"/>
      <c r="AC1067" s="5"/>
      <c r="AD1067" s="5"/>
      <c r="AE1067" s="5"/>
      <c r="AF1067" s="5"/>
      <c r="AG1067" s="5"/>
      <c r="AH1067" s="16">
        <f>37044*0.7705</f>
        <v>28542.401999999998</v>
      </c>
      <c r="AI1067" s="16" t="s">
        <v>68</v>
      </c>
      <c r="AJ1067" s="5"/>
      <c r="AK1067" s="5"/>
      <c r="AL1067" s="5"/>
      <c r="AM1067" s="16">
        <f>AH1067+(20674-4930-2619-739)*0.7705</f>
        <v>38085.814999999995</v>
      </c>
      <c r="AN1067" s="5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  <c r="BY1067" s="8"/>
      <c r="BZ1067" s="8"/>
      <c r="CA1067" s="8"/>
      <c r="CB1067" s="8"/>
      <c r="CC1067" s="8"/>
      <c r="CD1067" s="8"/>
      <c r="CE1067" s="8"/>
      <c r="CF1067" s="8"/>
      <c r="CG1067" s="8"/>
      <c r="CH1067" s="8"/>
      <c r="CI1067" s="8"/>
      <c r="CJ1067" s="8"/>
      <c r="CK1067" s="8"/>
      <c r="CL1067" s="8"/>
      <c r="CM1067" s="8"/>
      <c r="CN1067" s="8"/>
      <c r="CO1067" s="8"/>
      <c r="CP1067" s="8"/>
      <c r="CQ1067" s="8"/>
      <c r="CR1067" s="8"/>
      <c r="CS1067" s="8"/>
      <c r="CT1067" s="8"/>
      <c r="CU1067" s="8"/>
      <c r="CV1067" s="8"/>
      <c r="CW1067" s="8"/>
      <c r="CX1067" s="8"/>
      <c r="CY1067" s="8"/>
      <c r="CZ1067" s="8"/>
      <c r="DA1067" s="8"/>
      <c r="DB1067" s="8"/>
      <c r="DC1067" s="8"/>
      <c r="DD1067" s="8"/>
      <c r="DE1067" s="8"/>
      <c r="DF1067" s="8"/>
      <c r="DG1067" s="8"/>
      <c r="DH1067" s="8"/>
      <c r="DI1067" s="8"/>
      <c r="DJ1067" s="8"/>
      <c r="DK1067" s="8"/>
      <c r="DL1067" s="8"/>
      <c r="DM1067" s="8"/>
      <c r="DN1067" s="8"/>
      <c r="DO1067" s="8"/>
      <c r="DP1067" s="8"/>
      <c r="DQ1067" s="8"/>
      <c r="DR1067" s="8"/>
      <c r="DS1067" s="8"/>
      <c r="DT1067" s="8"/>
      <c r="DU1067" s="8"/>
      <c r="DV1067" s="8"/>
      <c r="DW1067" s="8"/>
      <c r="DX1067" s="8"/>
      <c r="DY1067" s="8"/>
      <c r="DZ1067" s="8"/>
      <c r="EA1067" s="8"/>
      <c r="EB1067" s="8"/>
      <c r="EC1067" s="8"/>
      <c r="ED1067" s="8"/>
      <c r="EE1067" s="8"/>
      <c r="EF1067" s="8"/>
      <c r="EG1067" s="8"/>
      <c r="EH1067" s="8"/>
      <c r="EI1067" s="8"/>
      <c r="EJ1067" s="8"/>
      <c r="EK1067" s="8"/>
      <c r="EL1067" s="8"/>
      <c r="EM1067" s="8"/>
      <c r="EN1067" s="8"/>
      <c r="EO1067" s="8"/>
      <c r="EP1067" s="8"/>
      <c r="EQ1067" s="8"/>
      <c r="ER1067" s="8"/>
      <c r="ES1067" s="8"/>
      <c r="ET1067" s="8"/>
      <c r="EU1067" s="8"/>
      <c r="EV1067" s="8"/>
      <c r="EW1067" s="8"/>
      <c r="EX1067" s="8"/>
      <c r="EY1067" s="8"/>
      <c r="EZ1067" s="8"/>
      <c r="FA1067" s="8"/>
      <c r="FB1067" s="8"/>
      <c r="FC1067" s="8"/>
      <c r="FD1067" s="8"/>
      <c r="FE1067" s="8"/>
      <c r="FF1067" s="8"/>
      <c r="FG1067" s="8"/>
      <c r="FH1067" s="8"/>
      <c r="FI1067" s="8"/>
      <c r="FJ1067" s="8"/>
      <c r="FK1067" s="8"/>
      <c r="FL1067" s="8"/>
      <c r="FM1067" s="8"/>
      <c r="FN1067" s="8"/>
      <c r="FO1067" s="8"/>
      <c r="FP1067" s="8"/>
      <c r="FQ1067" s="8"/>
      <c r="FR1067" s="8"/>
      <c r="FS1067" s="8"/>
      <c r="FT1067" s="8"/>
      <c r="FU1067" s="8"/>
      <c r="FV1067" s="8"/>
      <c r="FW1067" s="8"/>
      <c r="FX1067" s="8"/>
      <c r="FY1067" s="8"/>
      <c r="FZ1067" s="8"/>
      <c r="GA1067" s="8"/>
      <c r="GB1067" s="8"/>
      <c r="GC1067" s="8"/>
      <c r="GD1067" s="8"/>
      <c r="GE1067" s="8"/>
      <c r="GF1067" s="8"/>
      <c r="GG1067" s="8"/>
      <c r="GH1067" s="8"/>
      <c r="GI1067" s="8"/>
      <c r="GJ1067" s="8"/>
      <c r="GK1067" s="8"/>
      <c r="GL1067" s="8"/>
      <c r="GM1067" s="8"/>
      <c r="GN1067" s="8"/>
      <c r="GO1067" s="8"/>
      <c r="GP1067" s="8"/>
      <c r="GQ1067" s="8"/>
      <c r="GR1067" s="8"/>
      <c r="GS1067" s="8"/>
      <c r="GT1067" s="8"/>
      <c r="GU1067" s="8"/>
      <c r="GV1067" s="8"/>
      <c r="GW1067" s="8"/>
      <c r="GX1067" s="8"/>
      <c r="GY1067" s="8"/>
      <c r="GZ1067" s="8"/>
      <c r="HA1067" s="8"/>
      <c r="HB1067" s="8"/>
      <c r="HC1067" s="8"/>
      <c r="HD1067" s="8"/>
      <c r="HE1067" s="8"/>
      <c r="HF1067" s="8"/>
      <c r="HG1067" s="8"/>
      <c r="HH1067" s="8"/>
      <c r="HI1067" s="8"/>
      <c r="HJ1067" s="8"/>
      <c r="HK1067" s="8"/>
      <c r="HL1067" s="8"/>
      <c r="HM1067" s="8"/>
      <c r="HN1067" s="8"/>
      <c r="HO1067" s="8"/>
      <c r="HP1067" s="8"/>
      <c r="HQ1067" s="8"/>
      <c r="HR1067" s="8"/>
      <c r="HS1067" s="8"/>
      <c r="HT1067" s="8"/>
      <c r="HU1067" s="8"/>
      <c r="HV1067" s="8"/>
      <c r="HW1067" s="8"/>
      <c r="HX1067" s="8"/>
      <c r="HY1067" s="8"/>
      <c r="HZ1067" s="8"/>
      <c r="IA1067" s="8"/>
      <c r="IB1067" s="8"/>
      <c r="IC1067" s="8"/>
      <c r="ID1067" s="8"/>
      <c r="IE1067" s="8"/>
      <c r="IF1067" s="8"/>
    </row>
    <row r="1068" spans="1:240" ht="30" customHeight="1">
      <c r="A1068" s="5">
        <v>1066</v>
      </c>
      <c r="B1068" s="5"/>
      <c r="C1068" s="5"/>
      <c r="D1068" s="5" t="s">
        <v>68</v>
      </c>
      <c r="E1068" s="5" t="e">
        <f>259.875*#REF!</f>
        <v>#REF!</v>
      </c>
      <c r="F1068" s="5" t="s">
        <v>48</v>
      </c>
      <c r="G1068" s="5" t="e">
        <f>171.63*#REF!</f>
        <v>#REF!</v>
      </c>
      <c r="H1068" s="15">
        <f>23637*0.454</f>
        <v>10731.198</v>
      </c>
      <c r="I1068" s="5" t="s">
        <v>13</v>
      </c>
      <c r="J1068" s="15">
        <f>1777/4.4</f>
        <v>403.86363636363632</v>
      </c>
      <c r="K1068" s="15">
        <f t="shared" si="29"/>
        <v>5.5560000000000009</v>
      </c>
      <c r="L1068" s="5">
        <v>2110.11</v>
      </c>
      <c r="M1068" s="15">
        <f t="shared" si="30"/>
        <v>5.5549999999999997</v>
      </c>
      <c r="N1068" s="5"/>
      <c r="O1068" s="15">
        <f>125000*1.6978</f>
        <v>212225</v>
      </c>
      <c r="P1068" s="5"/>
      <c r="Q1068" s="5"/>
      <c r="R1068" s="5">
        <v>1</v>
      </c>
      <c r="S1068" s="5" t="e">
        <f>133.125*#REF!</f>
        <v>#REF!</v>
      </c>
      <c r="T1068" s="5" t="s">
        <v>48</v>
      </c>
      <c r="U1068" s="5" t="s">
        <v>48</v>
      </c>
      <c r="V1068" s="15">
        <f>20*0.7457</f>
        <v>14.914000000000001</v>
      </c>
      <c r="W1068" s="5" t="s">
        <v>87</v>
      </c>
      <c r="X1068" s="5" t="s">
        <v>48</v>
      </c>
      <c r="Y1068" s="5" t="s">
        <v>48</v>
      </c>
      <c r="Z1068" s="5" t="s">
        <v>48</v>
      </c>
      <c r="AA1068" s="5"/>
      <c r="AB1068" s="5"/>
      <c r="AC1068" s="5"/>
      <c r="AD1068" s="5"/>
      <c r="AE1068" s="5"/>
      <c r="AF1068" s="5"/>
      <c r="AG1068" s="5"/>
      <c r="AH1068" s="16">
        <f>47200*0.7705</f>
        <v>36367.599999999999</v>
      </c>
      <c r="AI1068" s="16" t="s">
        <v>68</v>
      </c>
      <c r="AJ1068" s="5"/>
      <c r="AK1068" s="5"/>
      <c r="AL1068" s="5"/>
      <c r="AM1068" s="16">
        <f>AH1068+(29115-6470-3235-986)*0.7705</f>
        <v>50563.292000000001</v>
      </c>
      <c r="AN1068" s="5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  <c r="BY1068" s="8"/>
      <c r="BZ1068" s="8"/>
      <c r="CA1068" s="8"/>
      <c r="CB1068" s="8"/>
      <c r="CC1068" s="8"/>
      <c r="CD1068" s="8"/>
      <c r="CE1068" s="8"/>
      <c r="CF1068" s="8"/>
      <c r="CG1068" s="8"/>
      <c r="CH1068" s="8"/>
      <c r="CI1068" s="8"/>
      <c r="CJ1068" s="8"/>
      <c r="CK1068" s="8"/>
      <c r="CL1068" s="8"/>
      <c r="CM1068" s="8"/>
      <c r="CN1068" s="8"/>
      <c r="CO1068" s="8"/>
      <c r="CP1068" s="8"/>
      <c r="CQ1068" s="8"/>
      <c r="CR1068" s="8"/>
      <c r="CS1068" s="8"/>
      <c r="CT1068" s="8"/>
      <c r="CU1068" s="8"/>
      <c r="CV1068" s="8"/>
      <c r="CW1068" s="8"/>
      <c r="CX1068" s="8"/>
      <c r="CY1068" s="8"/>
      <c r="CZ1068" s="8"/>
      <c r="DA1068" s="8"/>
      <c r="DB1068" s="8"/>
      <c r="DC1068" s="8"/>
      <c r="DD1068" s="8"/>
      <c r="DE1068" s="8"/>
      <c r="DF1068" s="8"/>
      <c r="DG1068" s="8"/>
      <c r="DH1068" s="8"/>
      <c r="DI1068" s="8"/>
      <c r="DJ1068" s="8"/>
      <c r="DK1068" s="8"/>
      <c r="DL1068" s="8"/>
      <c r="DM1068" s="8"/>
      <c r="DN1068" s="8"/>
      <c r="DO1068" s="8"/>
      <c r="DP1068" s="8"/>
      <c r="DQ1068" s="8"/>
      <c r="DR1068" s="8"/>
      <c r="DS1068" s="8"/>
      <c r="DT1068" s="8"/>
      <c r="DU1068" s="8"/>
      <c r="DV1068" s="8"/>
      <c r="DW1068" s="8"/>
      <c r="DX1068" s="8"/>
      <c r="DY1068" s="8"/>
      <c r="DZ1068" s="8"/>
      <c r="EA1068" s="8"/>
      <c r="EB1068" s="8"/>
      <c r="EC1068" s="8"/>
      <c r="ED1068" s="8"/>
      <c r="EE1068" s="8"/>
      <c r="EF1068" s="8"/>
      <c r="EG1068" s="8"/>
      <c r="EH1068" s="8"/>
      <c r="EI1068" s="8"/>
      <c r="EJ1068" s="8"/>
      <c r="EK1068" s="8"/>
      <c r="EL1068" s="8"/>
      <c r="EM1068" s="8"/>
      <c r="EN1068" s="8"/>
      <c r="EO1068" s="8"/>
      <c r="EP1068" s="8"/>
      <c r="EQ1068" s="8"/>
      <c r="ER1068" s="8"/>
      <c r="ES1068" s="8"/>
      <c r="ET1068" s="8"/>
      <c r="EU1068" s="8"/>
      <c r="EV1068" s="8"/>
      <c r="EW1068" s="8"/>
      <c r="EX1068" s="8"/>
      <c r="EY1068" s="8"/>
      <c r="EZ1068" s="8"/>
      <c r="FA1068" s="8"/>
      <c r="FB1068" s="8"/>
      <c r="FC1068" s="8"/>
      <c r="FD1068" s="8"/>
      <c r="FE1068" s="8"/>
      <c r="FF1068" s="8"/>
      <c r="FG1068" s="8"/>
      <c r="FH1068" s="8"/>
      <c r="FI1068" s="8"/>
      <c r="FJ1068" s="8"/>
      <c r="FK1068" s="8"/>
      <c r="FL1068" s="8"/>
      <c r="FM1068" s="8"/>
      <c r="FN1068" s="8"/>
      <c r="FO1068" s="8"/>
      <c r="FP1068" s="8"/>
      <c r="FQ1068" s="8"/>
      <c r="FR1068" s="8"/>
      <c r="FS1068" s="8"/>
      <c r="FT1068" s="8"/>
      <c r="FU1068" s="8"/>
      <c r="FV1068" s="8"/>
      <c r="FW1068" s="8"/>
      <c r="FX1068" s="8"/>
      <c r="FY1068" s="8"/>
      <c r="FZ1068" s="8"/>
      <c r="GA1068" s="8"/>
      <c r="GB1068" s="8"/>
      <c r="GC1068" s="8"/>
      <c r="GD1068" s="8"/>
      <c r="GE1068" s="8"/>
      <c r="GF1068" s="8"/>
      <c r="GG1068" s="8"/>
      <c r="GH1068" s="8"/>
      <c r="GI1068" s="8"/>
      <c r="GJ1068" s="8"/>
      <c r="GK1068" s="8"/>
      <c r="GL1068" s="8"/>
      <c r="GM1068" s="8"/>
      <c r="GN1068" s="8"/>
      <c r="GO1068" s="8"/>
      <c r="GP1068" s="8"/>
      <c r="GQ1068" s="8"/>
      <c r="GR1068" s="8"/>
      <c r="GS1068" s="8"/>
      <c r="GT1068" s="8"/>
      <c r="GU1068" s="8"/>
      <c r="GV1068" s="8"/>
      <c r="GW1068" s="8"/>
      <c r="GX1068" s="8"/>
      <c r="GY1068" s="8"/>
      <c r="GZ1068" s="8"/>
      <c r="HA1068" s="8"/>
      <c r="HB1068" s="8"/>
      <c r="HC1068" s="8"/>
      <c r="HD1068" s="8"/>
      <c r="HE1068" s="8"/>
      <c r="HF1068" s="8"/>
      <c r="HG1068" s="8"/>
      <c r="HH1068" s="8"/>
      <c r="HI1068" s="8"/>
      <c r="HJ1068" s="8"/>
      <c r="HK1068" s="8"/>
      <c r="HL1068" s="8"/>
      <c r="HM1068" s="8"/>
      <c r="HN1068" s="8"/>
      <c r="HO1068" s="8"/>
      <c r="HP1068" s="8"/>
      <c r="HQ1068" s="8"/>
      <c r="HR1068" s="8"/>
      <c r="HS1068" s="8"/>
      <c r="HT1068" s="8"/>
      <c r="HU1068" s="8"/>
      <c r="HV1068" s="8"/>
      <c r="HW1068" s="8"/>
      <c r="HX1068" s="8"/>
      <c r="HY1068" s="8"/>
      <c r="HZ1068" s="8"/>
      <c r="IA1068" s="8"/>
      <c r="IB1068" s="8"/>
      <c r="IC1068" s="8"/>
      <c r="ID1068" s="8"/>
      <c r="IE1068" s="8"/>
      <c r="IF1068" s="8"/>
    </row>
    <row r="1069" spans="1:240" ht="30" customHeight="1">
      <c r="A1069" s="5">
        <v>1067</v>
      </c>
      <c r="B1069" s="5"/>
      <c r="C1069" s="5"/>
      <c r="D1069" s="5" t="s">
        <v>68</v>
      </c>
      <c r="E1069" s="5" t="e">
        <f>259.875*#REF!</f>
        <v>#REF!</v>
      </c>
      <c r="F1069" s="5" t="s">
        <v>48</v>
      </c>
      <c r="G1069" s="5" t="e">
        <f>181.31*#REF!</f>
        <v>#REF!</v>
      </c>
      <c r="H1069" s="15">
        <f>24127*0.454</f>
        <v>10953.657999999999</v>
      </c>
      <c r="I1069" s="5" t="s">
        <v>13</v>
      </c>
      <c r="J1069" s="15">
        <f>2101/4.4</f>
        <v>477.49999999999994</v>
      </c>
      <c r="K1069" s="15">
        <f t="shared" si="29"/>
        <v>5.5560000000000009</v>
      </c>
      <c r="L1069" s="5">
        <v>2461.8000000000002</v>
      </c>
      <c r="M1069" s="15">
        <f t="shared" si="30"/>
        <v>5.5549999999999997</v>
      </c>
      <c r="N1069" s="5"/>
      <c r="O1069" s="15">
        <f>125000*1.6978</f>
        <v>212225</v>
      </c>
      <c r="P1069" s="5"/>
      <c r="Q1069" s="5"/>
      <c r="R1069" s="5">
        <v>1</v>
      </c>
      <c r="S1069" s="5" t="e">
        <f>133.125*#REF!</f>
        <v>#REF!</v>
      </c>
      <c r="T1069" s="5" t="s">
        <v>48</v>
      </c>
      <c r="U1069" s="5" t="s">
        <v>48</v>
      </c>
      <c r="V1069" s="15">
        <f>20*0.7457</f>
        <v>14.914000000000001</v>
      </c>
      <c r="W1069" s="5" t="s">
        <v>87</v>
      </c>
      <c r="X1069" s="5" t="s">
        <v>48</v>
      </c>
      <c r="Y1069" s="5" t="s">
        <v>48</v>
      </c>
      <c r="Z1069" s="5" t="s">
        <v>48</v>
      </c>
      <c r="AA1069" s="5"/>
      <c r="AB1069" s="5"/>
      <c r="AC1069" s="5"/>
      <c r="AD1069" s="5"/>
      <c r="AE1069" s="5"/>
      <c r="AF1069" s="5"/>
      <c r="AG1069" s="5"/>
      <c r="AH1069" s="16">
        <f>49500*0.7705</f>
        <v>38139.75</v>
      </c>
      <c r="AI1069" s="16" t="s">
        <v>68</v>
      </c>
      <c r="AJ1069" s="5"/>
      <c r="AK1069" s="5"/>
      <c r="AL1069" s="5"/>
      <c r="AM1069" s="16">
        <f>AH1069+(29115-6470-3235-986)*0.7705</f>
        <v>52335.441999999995</v>
      </c>
      <c r="AN1069" s="5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8"/>
      <c r="BS1069" s="8"/>
      <c r="BT1069" s="8"/>
      <c r="BU1069" s="8"/>
      <c r="BV1069" s="8"/>
      <c r="BW1069" s="8"/>
      <c r="BX1069" s="8"/>
      <c r="BY1069" s="8"/>
      <c r="BZ1069" s="8"/>
      <c r="CA1069" s="8"/>
      <c r="CB1069" s="8"/>
      <c r="CC1069" s="8"/>
      <c r="CD1069" s="8"/>
      <c r="CE1069" s="8"/>
      <c r="CF1069" s="8"/>
      <c r="CG1069" s="8"/>
      <c r="CH1069" s="8"/>
      <c r="CI1069" s="8"/>
      <c r="CJ1069" s="8"/>
      <c r="CK1069" s="8"/>
      <c r="CL1069" s="8"/>
      <c r="CM1069" s="8"/>
      <c r="CN1069" s="8"/>
      <c r="CO1069" s="8"/>
      <c r="CP1069" s="8"/>
      <c r="CQ1069" s="8"/>
      <c r="CR1069" s="8"/>
      <c r="CS1069" s="8"/>
      <c r="CT1069" s="8"/>
      <c r="CU1069" s="8"/>
      <c r="CV1069" s="8"/>
      <c r="CW1069" s="8"/>
      <c r="CX1069" s="8"/>
      <c r="CY1069" s="8"/>
      <c r="CZ1069" s="8"/>
      <c r="DA1069" s="8"/>
      <c r="DB1069" s="8"/>
      <c r="DC1069" s="8"/>
      <c r="DD1069" s="8"/>
      <c r="DE1069" s="8"/>
      <c r="DF1069" s="8"/>
      <c r="DG1069" s="8"/>
      <c r="DH1069" s="8"/>
      <c r="DI1069" s="8"/>
      <c r="DJ1069" s="8"/>
      <c r="DK1069" s="8"/>
      <c r="DL1069" s="8"/>
      <c r="DM1069" s="8"/>
      <c r="DN1069" s="8"/>
      <c r="DO1069" s="8"/>
      <c r="DP1069" s="8"/>
      <c r="DQ1069" s="8"/>
      <c r="DR1069" s="8"/>
      <c r="DS1069" s="8"/>
      <c r="DT1069" s="8"/>
      <c r="DU1069" s="8"/>
      <c r="DV1069" s="8"/>
      <c r="DW1069" s="8"/>
      <c r="DX1069" s="8"/>
      <c r="DY1069" s="8"/>
      <c r="DZ1069" s="8"/>
      <c r="EA1069" s="8"/>
      <c r="EB1069" s="8"/>
      <c r="EC1069" s="8"/>
      <c r="ED1069" s="8"/>
      <c r="EE1069" s="8"/>
      <c r="EF1069" s="8"/>
      <c r="EG1069" s="8"/>
      <c r="EH1069" s="8"/>
      <c r="EI1069" s="8"/>
      <c r="EJ1069" s="8"/>
      <c r="EK1069" s="8"/>
      <c r="EL1069" s="8"/>
      <c r="EM1069" s="8"/>
      <c r="EN1069" s="8"/>
      <c r="EO1069" s="8"/>
      <c r="EP1069" s="8"/>
      <c r="EQ1069" s="8"/>
      <c r="ER1069" s="8"/>
      <c r="ES1069" s="8"/>
      <c r="ET1069" s="8"/>
      <c r="EU1069" s="8"/>
      <c r="EV1069" s="8"/>
      <c r="EW1069" s="8"/>
      <c r="EX1069" s="8"/>
      <c r="EY1069" s="8"/>
      <c r="EZ1069" s="8"/>
      <c r="FA1069" s="8"/>
      <c r="FB1069" s="8"/>
      <c r="FC1069" s="8"/>
      <c r="FD1069" s="8"/>
      <c r="FE1069" s="8"/>
      <c r="FF1069" s="8"/>
      <c r="FG1069" s="8"/>
      <c r="FH1069" s="8"/>
      <c r="FI1069" s="8"/>
      <c r="FJ1069" s="8"/>
      <c r="FK1069" s="8"/>
      <c r="FL1069" s="8"/>
      <c r="FM1069" s="8"/>
      <c r="FN1069" s="8"/>
      <c r="FO1069" s="8"/>
      <c r="FP1069" s="8"/>
      <c r="FQ1069" s="8"/>
      <c r="FR1069" s="8"/>
      <c r="FS1069" s="8"/>
      <c r="FT1069" s="8"/>
      <c r="FU1069" s="8"/>
      <c r="FV1069" s="8"/>
      <c r="FW1069" s="8"/>
      <c r="FX1069" s="8"/>
      <c r="FY1069" s="8"/>
      <c r="FZ1069" s="8"/>
      <c r="GA1069" s="8"/>
      <c r="GB1069" s="8"/>
      <c r="GC1069" s="8"/>
      <c r="GD1069" s="8"/>
      <c r="GE1069" s="8"/>
      <c r="GF1069" s="8"/>
      <c r="GG1069" s="8"/>
      <c r="GH1069" s="8"/>
      <c r="GI1069" s="8"/>
      <c r="GJ1069" s="8"/>
      <c r="GK1069" s="8"/>
      <c r="GL1069" s="8"/>
      <c r="GM1069" s="8"/>
      <c r="GN1069" s="8"/>
      <c r="GO1069" s="8"/>
      <c r="GP1069" s="8"/>
      <c r="GQ1069" s="8"/>
      <c r="GR1069" s="8"/>
      <c r="GS1069" s="8"/>
      <c r="GT1069" s="8"/>
      <c r="GU1069" s="8"/>
      <c r="GV1069" s="8"/>
      <c r="GW1069" s="8"/>
      <c r="GX1069" s="8"/>
      <c r="GY1069" s="8"/>
      <c r="GZ1069" s="8"/>
      <c r="HA1069" s="8"/>
      <c r="HB1069" s="8"/>
      <c r="HC1069" s="8"/>
      <c r="HD1069" s="8"/>
      <c r="HE1069" s="8"/>
      <c r="HF1069" s="8"/>
      <c r="HG1069" s="8"/>
      <c r="HH1069" s="8"/>
      <c r="HI1069" s="8"/>
      <c r="HJ1069" s="8"/>
      <c r="HK1069" s="8"/>
      <c r="HL1069" s="8"/>
      <c r="HM1069" s="8"/>
      <c r="HN1069" s="8"/>
      <c r="HO1069" s="8"/>
      <c r="HP1069" s="8"/>
      <c r="HQ1069" s="8"/>
      <c r="HR1069" s="8"/>
      <c r="HS1069" s="8"/>
      <c r="HT1069" s="8"/>
      <c r="HU1069" s="8"/>
      <c r="HV1069" s="8"/>
      <c r="HW1069" s="8"/>
      <c r="HX1069" s="8"/>
      <c r="HY1069" s="8"/>
      <c r="HZ1069" s="8"/>
      <c r="IA1069" s="8"/>
      <c r="IB1069" s="8"/>
      <c r="IC1069" s="8"/>
      <c r="ID1069" s="8"/>
      <c r="IE1069" s="8"/>
      <c r="IF1069" s="8"/>
    </row>
    <row r="1070" spans="1:240" ht="30" customHeight="1">
      <c r="A1070" s="5">
        <v>1068</v>
      </c>
      <c r="B1070" s="5"/>
      <c r="C1070" s="5"/>
      <c r="D1070" s="5" t="s">
        <v>68</v>
      </c>
      <c r="E1070" s="5" t="e">
        <f>299.25*#REF!</f>
        <v>#REF!</v>
      </c>
      <c r="F1070" s="5" t="s">
        <v>48</v>
      </c>
      <c r="G1070" s="5" t="e">
        <f>194.69*#REF!</f>
        <v>#REF!</v>
      </c>
      <c r="H1070" s="15">
        <f>26256*0.454</f>
        <v>11920.224</v>
      </c>
      <c r="I1070" s="5" t="s">
        <v>13</v>
      </c>
      <c r="J1070" s="15">
        <f>2270/4.4</f>
        <v>515.90909090909088</v>
      </c>
      <c r="K1070" s="15">
        <f t="shared" si="29"/>
        <v>5.5560000000000009</v>
      </c>
      <c r="L1070" s="5">
        <v>2813.48</v>
      </c>
      <c r="M1070" s="15">
        <f t="shared" si="30"/>
        <v>5.5549999999999997</v>
      </c>
      <c r="N1070" s="5"/>
      <c r="O1070" s="15">
        <f>175000*1.6978</f>
        <v>297115</v>
      </c>
      <c r="P1070" s="5"/>
      <c r="Q1070" s="5"/>
      <c r="R1070" s="5">
        <v>1</v>
      </c>
      <c r="S1070" s="5" t="e">
        <f>141*#REF!</f>
        <v>#REF!</v>
      </c>
      <c r="T1070" s="5" t="s">
        <v>48</v>
      </c>
      <c r="U1070" s="5" t="s">
        <v>48</v>
      </c>
      <c r="V1070" s="15">
        <f>30*0.7457</f>
        <v>22.371000000000002</v>
      </c>
      <c r="W1070" s="5" t="s">
        <v>87</v>
      </c>
      <c r="X1070" s="5" t="s">
        <v>48</v>
      </c>
      <c r="Y1070" s="5" t="s">
        <v>48</v>
      </c>
      <c r="Z1070" s="5" t="s">
        <v>48</v>
      </c>
      <c r="AA1070" s="5"/>
      <c r="AB1070" s="5"/>
      <c r="AC1070" s="5"/>
      <c r="AD1070" s="5"/>
      <c r="AE1070" s="5"/>
      <c r="AF1070" s="5"/>
      <c r="AG1070" s="5"/>
      <c r="AH1070" s="16">
        <f>62110*0.7705</f>
        <v>47855.754999999997</v>
      </c>
      <c r="AI1070" s="16" t="s">
        <v>68</v>
      </c>
      <c r="AJ1070" s="5"/>
      <c r="AK1070" s="5"/>
      <c r="AL1070" s="5"/>
      <c r="AM1070" s="16">
        <f>AH1070+(34368-7086-3697-986)*0.7705</f>
        <v>65268.284499999994</v>
      </c>
      <c r="AN1070" s="5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8"/>
      <c r="BS1070" s="8"/>
      <c r="BT1070" s="8"/>
      <c r="BU1070" s="8"/>
      <c r="BV1070" s="8"/>
      <c r="BW1070" s="8"/>
      <c r="BX1070" s="8"/>
      <c r="BY1070" s="8"/>
      <c r="BZ1070" s="8"/>
      <c r="CA1070" s="8"/>
      <c r="CB1070" s="8"/>
      <c r="CC1070" s="8"/>
      <c r="CD1070" s="8"/>
      <c r="CE1070" s="8"/>
      <c r="CF1070" s="8"/>
      <c r="CG1070" s="8"/>
      <c r="CH1070" s="8"/>
      <c r="CI1070" s="8"/>
      <c r="CJ1070" s="8"/>
      <c r="CK1070" s="8"/>
      <c r="CL1070" s="8"/>
      <c r="CM1070" s="8"/>
      <c r="CN1070" s="8"/>
      <c r="CO1070" s="8"/>
      <c r="CP1070" s="8"/>
      <c r="CQ1070" s="8"/>
      <c r="CR1070" s="8"/>
      <c r="CS1070" s="8"/>
      <c r="CT1070" s="8"/>
      <c r="CU1070" s="8"/>
      <c r="CV1070" s="8"/>
      <c r="CW1070" s="8"/>
      <c r="CX1070" s="8"/>
      <c r="CY1070" s="8"/>
      <c r="CZ1070" s="8"/>
      <c r="DA1070" s="8"/>
      <c r="DB1070" s="8"/>
      <c r="DC1070" s="8"/>
      <c r="DD1070" s="8"/>
      <c r="DE1070" s="8"/>
      <c r="DF1070" s="8"/>
      <c r="DG1070" s="8"/>
      <c r="DH1070" s="8"/>
      <c r="DI1070" s="8"/>
      <c r="DJ1070" s="8"/>
      <c r="DK1070" s="8"/>
      <c r="DL1070" s="8"/>
      <c r="DM1070" s="8"/>
      <c r="DN1070" s="8"/>
      <c r="DO1070" s="8"/>
      <c r="DP1070" s="8"/>
      <c r="DQ1070" s="8"/>
      <c r="DR1070" s="8"/>
      <c r="DS1070" s="8"/>
      <c r="DT1070" s="8"/>
      <c r="DU1070" s="8"/>
      <c r="DV1070" s="8"/>
      <c r="DW1070" s="8"/>
      <c r="DX1070" s="8"/>
      <c r="DY1070" s="8"/>
      <c r="DZ1070" s="8"/>
      <c r="EA1070" s="8"/>
      <c r="EB1070" s="8"/>
      <c r="EC1070" s="8"/>
      <c r="ED1070" s="8"/>
      <c r="EE1070" s="8"/>
      <c r="EF1070" s="8"/>
      <c r="EG1070" s="8"/>
      <c r="EH1070" s="8"/>
      <c r="EI1070" s="8"/>
      <c r="EJ1070" s="8"/>
      <c r="EK1070" s="8"/>
      <c r="EL1070" s="8"/>
      <c r="EM1070" s="8"/>
      <c r="EN1070" s="8"/>
      <c r="EO1070" s="8"/>
      <c r="EP1070" s="8"/>
      <c r="EQ1070" s="8"/>
      <c r="ER1070" s="8"/>
      <c r="ES1070" s="8"/>
      <c r="ET1070" s="8"/>
      <c r="EU1070" s="8"/>
      <c r="EV1070" s="8"/>
      <c r="EW1070" s="8"/>
      <c r="EX1070" s="8"/>
      <c r="EY1070" s="8"/>
      <c r="EZ1070" s="8"/>
      <c r="FA1070" s="8"/>
      <c r="FB1070" s="8"/>
      <c r="FC1070" s="8"/>
      <c r="FD1070" s="8"/>
      <c r="FE1070" s="8"/>
      <c r="FF1070" s="8"/>
      <c r="FG1070" s="8"/>
      <c r="FH1070" s="8"/>
      <c r="FI1070" s="8"/>
      <c r="FJ1070" s="8"/>
      <c r="FK1070" s="8"/>
      <c r="FL1070" s="8"/>
      <c r="FM1070" s="8"/>
      <c r="FN1070" s="8"/>
      <c r="FO1070" s="8"/>
      <c r="FP1070" s="8"/>
      <c r="FQ1070" s="8"/>
      <c r="FR1070" s="8"/>
      <c r="FS1070" s="8"/>
      <c r="FT1070" s="8"/>
      <c r="FU1070" s="8"/>
      <c r="FV1070" s="8"/>
      <c r="FW1070" s="8"/>
      <c r="FX1070" s="8"/>
      <c r="FY1070" s="8"/>
      <c r="FZ1070" s="8"/>
      <c r="GA1070" s="8"/>
      <c r="GB1070" s="8"/>
      <c r="GC1070" s="8"/>
      <c r="GD1070" s="8"/>
      <c r="GE1070" s="8"/>
      <c r="GF1070" s="8"/>
      <c r="GG1070" s="8"/>
      <c r="GH1070" s="8"/>
      <c r="GI1070" s="8"/>
      <c r="GJ1070" s="8"/>
      <c r="GK1070" s="8"/>
      <c r="GL1070" s="8"/>
      <c r="GM1070" s="8"/>
      <c r="GN1070" s="8"/>
      <c r="GO1070" s="8"/>
      <c r="GP1070" s="8"/>
      <c r="GQ1070" s="8"/>
      <c r="GR1070" s="8"/>
      <c r="GS1070" s="8"/>
      <c r="GT1070" s="8"/>
      <c r="GU1070" s="8"/>
      <c r="GV1070" s="8"/>
      <c r="GW1070" s="8"/>
      <c r="GX1070" s="8"/>
      <c r="GY1070" s="8"/>
      <c r="GZ1070" s="8"/>
      <c r="HA1070" s="8"/>
      <c r="HB1070" s="8"/>
      <c r="HC1070" s="8"/>
      <c r="HD1070" s="8"/>
      <c r="HE1070" s="8"/>
      <c r="HF1070" s="8"/>
      <c r="HG1070" s="8"/>
      <c r="HH1070" s="8"/>
      <c r="HI1070" s="8"/>
      <c r="HJ1070" s="8"/>
      <c r="HK1070" s="8"/>
      <c r="HL1070" s="8"/>
      <c r="HM1070" s="8"/>
      <c r="HN1070" s="8"/>
      <c r="HO1070" s="8"/>
      <c r="HP1070" s="8"/>
      <c r="HQ1070" s="8"/>
      <c r="HR1070" s="8"/>
      <c r="HS1070" s="8"/>
      <c r="HT1070" s="8"/>
      <c r="HU1070" s="8"/>
      <c r="HV1070" s="8"/>
      <c r="HW1070" s="8"/>
      <c r="HX1070" s="8"/>
      <c r="HY1070" s="8"/>
      <c r="HZ1070" s="8"/>
      <c r="IA1070" s="8"/>
      <c r="IB1070" s="8"/>
      <c r="IC1070" s="8"/>
      <c r="ID1070" s="8"/>
      <c r="IE1070" s="8"/>
      <c r="IF1070" s="8"/>
    </row>
    <row r="1071" spans="1:240" ht="30" customHeight="1">
      <c r="A1071" s="5">
        <v>1069</v>
      </c>
      <c r="B1071" s="5"/>
      <c r="C1071" s="5"/>
      <c r="D1071" s="5" t="s">
        <v>68</v>
      </c>
      <c r="E1071" s="5" t="e">
        <f>299.25*#REF!</f>
        <v>#REF!</v>
      </c>
      <c r="F1071" s="5" t="s">
        <v>48</v>
      </c>
      <c r="G1071" s="5" t="e">
        <f>202.5*#REF!</f>
        <v>#REF!</v>
      </c>
      <c r="H1071" s="15">
        <f>27359*0.454</f>
        <v>12420.986000000001</v>
      </c>
      <c r="I1071" s="5" t="s">
        <v>13</v>
      </c>
      <c r="J1071" s="15">
        <f>3011/4.4</f>
        <v>684.31818181818176</v>
      </c>
      <c r="K1071" s="15">
        <f t="shared" si="29"/>
        <v>5.5560000000000009</v>
      </c>
      <c r="L1071" s="5">
        <v>3516.85</v>
      </c>
      <c r="M1071" s="15">
        <f t="shared" si="30"/>
        <v>5.5549999999999997</v>
      </c>
      <c r="N1071" s="5"/>
      <c r="O1071" s="15">
        <f>175000*1.6978</f>
        <v>297115</v>
      </c>
      <c r="P1071" s="5"/>
      <c r="Q1071" s="5"/>
      <c r="R1071" s="5">
        <v>1</v>
      </c>
      <c r="S1071" s="5" t="e">
        <f>141*#REF!</f>
        <v>#REF!</v>
      </c>
      <c r="T1071" s="5" t="s">
        <v>48</v>
      </c>
      <c r="U1071" s="5" t="s">
        <v>48</v>
      </c>
      <c r="V1071" s="15">
        <f>30*0.7457</f>
        <v>22.371000000000002</v>
      </c>
      <c r="W1071" s="5" t="s">
        <v>87</v>
      </c>
      <c r="X1071" s="5" t="s">
        <v>48</v>
      </c>
      <c r="Y1071" s="5" t="s">
        <v>48</v>
      </c>
      <c r="Z1071" s="5" t="s">
        <v>48</v>
      </c>
      <c r="AA1071" s="5"/>
      <c r="AB1071" s="5"/>
      <c r="AC1071" s="5"/>
      <c r="AD1071" s="5"/>
      <c r="AE1071" s="5"/>
      <c r="AF1071" s="5"/>
      <c r="AG1071" s="5"/>
      <c r="AH1071" s="16">
        <f>64990*0.7705</f>
        <v>50074.794999999998</v>
      </c>
      <c r="AI1071" s="16" t="s">
        <v>68</v>
      </c>
      <c r="AJ1071" s="5"/>
      <c r="AK1071" s="5"/>
      <c r="AL1071" s="5"/>
      <c r="AM1071" s="16">
        <f>AH1071+(34368-7086-3697-986)*0.7705</f>
        <v>67487.324500000002</v>
      </c>
      <c r="AN1071" s="5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8"/>
      <c r="BS1071" s="8"/>
      <c r="BT1071" s="8"/>
      <c r="BU1071" s="8"/>
      <c r="BV1071" s="8"/>
      <c r="BW1071" s="8"/>
      <c r="BX1071" s="8"/>
      <c r="BY1071" s="8"/>
      <c r="BZ1071" s="8"/>
      <c r="CA1071" s="8"/>
      <c r="CB1071" s="8"/>
      <c r="CC1071" s="8"/>
      <c r="CD1071" s="8"/>
      <c r="CE1071" s="8"/>
      <c r="CF1071" s="8"/>
      <c r="CG1071" s="8"/>
      <c r="CH1071" s="8"/>
      <c r="CI1071" s="8"/>
      <c r="CJ1071" s="8"/>
      <c r="CK1071" s="8"/>
      <c r="CL1071" s="8"/>
      <c r="CM1071" s="8"/>
      <c r="CN1071" s="8"/>
      <c r="CO1071" s="8"/>
      <c r="CP1071" s="8"/>
      <c r="CQ1071" s="8"/>
      <c r="CR1071" s="8"/>
      <c r="CS1071" s="8"/>
      <c r="CT1071" s="8"/>
      <c r="CU1071" s="8"/>
      <c r="CV1071" s="8"/>
      <c r="CW1071" s="8"/>
      <c r="CX1071" s="8"/>
      <c r="CY1071" s="8"/>
      <c r="CZ1071" s="8"/>
      <c r="DA1071" s="8"/>
      <c r="DB1071" s="8"/>
      <c r="DC1071" s="8"/>
      <c r="DD1071" s="8"/>
      <c r="DE1071" s="8"/>
      <c r="DF1071" s="8"/>
      <c r="DG1071" s="8"/>
      <c r="DH1071" s="8"/>
      <c r="DI1071" s="8"/>
      <c r="DJ1071" s="8"/>
      <c r="DK1071" s="8"/>
      <c r="DL1071" s="8"/>
      <c r="DM1071" s="8"/>
      <c r="DN1071" s="8"/>
      <c r="DO1071" s="8"/>
      <c r="DP1071" s="8"/>
      <c r="DQ1071" s="8"/>
      <c r="DR1071" s="8"/>
      <c r="DS1071" s="8"/>
      <c r="DT1071" s="8"/>
      <c r="DU1071" s="8"/>
      <c r="DV1071" s="8"/>
      <c r="DW1071" s="8"/>
      <c r="DX1071" s="8"/>
      <c r="DY1071" s="8"/>
      <c r="DZ1071" s="8"/>
      <c r="EA1071" s="8"/>
      <c r="EB1071" s="8"/>
      <c r="EC1071" s="8"/>
      <c r="ED1071" s="8"/>
      <c r="EE1071" s="8"/>
      <c r="EF1071" s="8"/>
      <c r="EG1071" s="8"/>
      <c r="EH1071" s="8"/>
      <c r="EI1071" s="8"/>
      <c r="EJ1071" s="8"/>
      <c r="EK1071" s="8"/>
      <c r="EL1071" s="8"/>
      <c r="EM1071" s="8"/>
      <c r="EN1071" s="8"/>
      <c r="EO1071" s="8"/>
      <c r="EP1071" s="8"/>
      <c r="EQ1071" s="8"/>
      <c r="ER1071" s="8"/>
      <c r="ES1071" s="8"/>
      <c r="ET1071" s="8"/>
      <c r="EU1071" s="8"/>
      <c r="EV1071" s="8"/>
      <c r="EW1071" s="8"/>
      <c r="EX1071" s="8"/>
      <c r="EY1071" s="8"/>
      <c r="EZ1071" s="8"/>
      <c r="FA1071" s="8"/>
      <c r="FB1071" s="8"/>
      <c r="FC1071" s="8"/>
      <c r="FD1071" s="8"/>
      <c r="FE1071" s="8"/>
      <c r="FF1071" s="8"/>
      <c r="FG1071" s="8"/>
      <c r="FH1071" s="8"/>
      <c r="FI1071" s="8"/>
      <c r="FJ1071" s="8"/>
      <c r="FK1071" s="8"/>
      <c r="FL1071" s="8"/>
      <c r="FM1071" s="8"/>
      <c r="FN1071" s="8"/>
      <c r="FO1071" s="8"/>
      <c r="FP1071" s="8"/>
      <c r="FQ1071" s="8"/>
      <c r="FR1071" s="8"/>
      <c r="FS1071" s="8"/>
      <c r="FT1071" s="8"/>
      <c r="FU1071" s="8"/>
      <c r="FV1071" s="8"/>
      <c r="FW1071" s="8"/>
      <c r="FX1071" s="8"/>
      <c r="FY1071" s="8"/>
      <c r="FZ1071" s="8"/>
      <c r="GA1071" s="8"/>
      <c r="GB1071" s="8"/>
      <c r="GC1071" s="8"/>
      <c r="GD1071" s="8"/>
      <c r="GE1071" s="8"/>
      <c r="GF1071" s="8"/>
      <c r="GG1071" s="8"/>
      <c r="GH1071" s="8"/>
      <c r="GI1071" s="8"/>
      <c r="GJ1071" s="8"/>
      <c r="GK1071" s="8"/>
      <c r="GL1071" s="8"/>
      <c r="GM1071" s="8"/>
      <c r="GN1071" s="8"/>
      <c r="GO1071" s="8"/>
      <c r="GP1071" s="8"/>
      <c r="GQ1071" s="8"/>
      <c r="GR1071" s="8"/>
      <c r="GS1071" s="8"/>
      <c r="GT1071" s="8"/>
      <c r="GU1071" s="8"/>
      <c r="GV1071" s="8"/>
      <c r="GW1071" s="8"/>
      <c r="GX1071" s="8"/>
      <c r="GY1071" s="8"/>
      <c r="GZ1071" s="8"/>
      <c r="HA1071" s="8"/>
      <c r="HB1071" s="8"/>
      <c r="HC1071" s="8"/>
      <c r="HD1071" s="8"/>
      <c r="HE1071" s="8"/>
      <c r="HF1071" s="8"/>
      <c r="HG1071" s="8"/>
      <c r="HH1071" s="8"/>
      <c r="HI1071" s="8"/>
      <c r="HJ1071" s="8"/>
      <c r="HK1071" s="8"/>
      <c r="HL1071" s="8"/>
      <c r="HM1071" s="8"/>
      <c r="HN1071" s="8"/>
      <c r="HO1071" s="8"/>
      <c r="HP1071" s="8"/>
      <c r="HQ1071" s="8"/>
      <c r="HR1071" s="8"/>
      <c r="HS1071" s="8"/>
      <c r="HT1071" s="8"/>
      <c r="HU1071" s="8"/>
      <c r="HV1071" s="8"/>
      <c r="HW1071" s="8"/>
      <c r="HX1071" s="8"/>
      <c r="HY1071" s="8"/>
      <c r="HZ1071" s="8"/>
      <c r="IA1071" s="8"/>
      <c r="IB1071" s="8"/>
      <c r="IC1071" s="8"/>
      <c r="ID1071" s="8"/>
      <c r="IE1071" s="8"/>
      <c r="IF1071" s="8"/>
    </row>
    <row r="1072" spans="1:240" ht="30" customHeight="1">
      <c r="A1072" s="5">
        <v>1070</v>
      </c>
      <c r="B1072" s="5"/>
      <c r="C1072" s="5"/>
      <c r="D1072" s="5" t="s">
        <v>68</v>
      </c>
      <c r="E1072" s="5" t="e">
        <f>27*#REF!</f>
        <v>#REF!</v>
      </c>
      <c r="F1072" s="5" t="s">
        <v>48</v>
      </c>
      <c r="G1072" s="5" t="e">
        <f>48*#REF!</f>
        <v>#REF!</v>
      </c>
      <c r="H1072" s="15">
        <f>143*0.454</f>
        <v>64.921999999999997</v>
      </c>
      <c r="I1072" s="5" t="s">
        <v>13</v>
      </c>
      <c r="J1072" s="15">
        <f>9/4.4</f>
        <v>2.0454545454545454</v>
      </c>
      <c r="K1072" s="15">
        <f t="shared" si="29"/>
        <v>5.5560000000000009</v>
      </c>
      <c r="L1072" s="5">
        <v>10.6</v>
      </c>
      <c r="M1072" s="15">
        <f t="shared" si="30"/>
        <v>5.5549999999999997</v>
      </c>
      <c r="N1072" s="5"/>
      <c r="O1072" s="15">
        <f>953*1.6978</f>
        <v>1618.0034000000001</v>
      </c>
      <c r="P1072" s="5"/>
      <c r="Q1072" s="5"/>
      <c r="R1072" s="5">
        <v>1</v>
      </c>
      <c r="S1072" s="5" t="e">
        <f>18*#REF!</f>
        <v>#REF!</v>
      </c>
      <c r="T1072" s="5"/>
      <c r="U1072" s="5">
        <v>1200</v>
      </c>
      <c r="V1072" s="15">
        <f>1/6*0.7457</f>
        <v>0.12428333333333333</v>
      </c>
      <c r="W1072" s="5" t="s">
        <v>96</v>
      </c>
      <c r="X1072" s="5" t="s">
        <v>89</v>
      </c>
      <c r="Y1072" s="5" t="s">
        <v>48</v>
      </c>
      <c r="Z1072" s="5" t="s">
        <v>48</v>
      </c>
      <c r="AA1072" s="5"/>
      <c r="AB1072" s="5"/>
      <c r="AC1072" s="5"/>
      <c r="AD1072" s="5"/>
      <c r="AE1072" s="5"/>
      <c r="AF1072" s="5"/>
      <c r="AG1072" s="5"/>
      <c r="AH1072" s="16" t="s">
        <v>48</v>
      </c>
      <c r="AI1072" s="5"/>
      <c r="AJ1072" s="5"/>
      <c r="AK1072" s="5"/>
      <c r="AL1072" s="5"/>
      <c r="AM1072" s="16" t="str">
        <f>AH1072</f>
        <v>_</v>
      </c>
      <c r="AN1072" s="5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8"/>
      <c r="BS1072" s="8"/>
      <c r="BT1072" s="8"/>
      <c r="BU1072" s="8"/>
      <c r="BV1072" s="8"/>
      <c r="BW1072" s="8"/>
      <c r="BX1072" s="8"/>
      <c r="BY1072" s="8"/>
      <c r="BZ1072" s="8"/>
      <c r="CA1072" s="8"/>
      <c r="CB1072" s="8"/>
      <c r="CC1072" s="8"/>
      <c r="CD1072" s="8"/>
      <c r="CE1072" s="8"/>
      <c r="CF1072" s="8"/>
      <c r="CG1072" s="8"/>
      <c r="CH1072" s="8"/>
      <c r="CI1072" s="8"/>
      <c r="CJ1072" s="8"/>
      <c r="CK1072" s="8"/>
      <c r="CL1072" s="8"/>
      <c r="CM1072" s="8"/>
      <c r="CN1072" s="8"/>
      <c r="CO1072" s="8"/>
      <c r="CP1072" s="8"/>
      <c r="CQ1072" s="8"/>
      <c r="CR1072" s="8"/>
      <c r="CS1072" s="8"/>
      <c r="CT1072" s="8"/>
      <c r="CU1072" s="8"/>
      <c r="CV1072" s="8"/>
      <c r="CW1072" s="8"/>
      <c r="CX1072" s="8"/>
      <c r="CY1072" s="8"/>
      <c r="CZ1072" s="8"/>
      <c r="DA1072" s="8"/>
      <c r="DB1072" s="8"/>
      <c r="DC1072" s="8"/>
      <c r="DD1072" s="8"/>
      <c r="DE1072" s="8"/>
      <c r="DF1072" s="8"/>
      <c r="DG1072" s="8"/>
      <c r="DH1072" s="8"/>
      <c r="DI1072" s="8"/>
      <c r="DJ1072" s="8"/>
      <c r="DK1072" s="8"/>
      <c r="DL1072" s="8"/>
      <c r="DM1072" s="8"/>
      <c r="DN1072" s="8"/>
      <c r="DO1072" s="8"/>
      <c r="DP1072" s="8"/>
      <c r="DQ1072" s="8"/>
      <c r="DR1072" s="8"/>
      <c r="DS1072" s="8"/>
      <c r="DT1072" s="8"/>
      <c r="DU1072" s="8"/>
      <c r="DV1072" s="8"/>
      <c r="DW1072" s="8"/>
      <c r="DX1072" s="8"/>
      <c r="DY1072" s="8"/>
      <c r="DZ1072" s="8"/>
      <c r="EA1072" s="8"/>
      <c r="EB1072" s="8"/>
      <c r="EC1072" s="8"/>
      <c r="ED1072" s="8"/>
      <c r="EE1072" s="8"/>
      <c r="EF1072" s="8"/>
      <c r="EG1072" s="8"/>
      <c r="EH1072" s="8"/>
      <c r="EI1072" s="8"/>
      <c r="EJ1072" s="8"/>
      <c r="EK1072" s="8"/>
      <c r="EL1072" s="8"/>
      <c r="EM1072" s="8"/>
      <c r="EN1072" s="8"/>
      <c r="EO1072" s="8"/>
      <c r="EP1072" s="8"/>
      <c r="EQ1072" s="8"/>
      <c r="ER1072" s="8"/>
      <c r="ES1072" s="8"/>
      <c r="ET1072" s="8"/>
      <c r="EU1072" s="8"/>
      <c r="EV1072" s="8"/>
      <c r="EW1072" s="8"/>
      <c r="EX1072" s="8"/>
      <c r="EY1072" s="8"/>
      <c r="EZ1072" s="8"/>
      <c r="FA1072" s="8"/>
      <c r="FB1072" s="8"/>
      <c r="FC1072" s="8"/>
      <c r="FD1072" s="8"/>
      <c r="FE1072" s="8"/>
      <c r="FF1072" s="8"/>
      <c r="FG1072" s="8"/>
      <c r="FH1072" s="8"/>
      <c r="FI1072" s="8"/>
      <c r="FJ1072" s="8"/>
      <c r="FK1072" s="8"/>
      <c r="FL1072" s="8"/>
      <c r="FM1072" s="8"/>
      <c r="FN1072" s="8"/>
      <c r="FO1072" s="8"/>
      <c r="FP1072" s="8"/>
      <c r="FQ1072" s="8"/>
      <c r="FR1072" s="8"/>
      <c r="FS1072" s="8"/>
      <c r="FT1072" s="8"/>
      <c r="FU1072" s="8"/>
      <c r="FV1072" s="8"/>
      <c r="FW1072" s="8"/>
      <c r="FX1072" s="8"/>
      <c r="FY1072" s="8"/>
      <c r="FZ1072" s="8"/>
      <c r="GA1072" s="8"/>
      <c r="GB1072" s="8"/>
      <c r="GC1072" s="8"/>
      <c r="GD1072" s="8"/>
      <c r="GE1072" s="8"/>
      <c r="GF1072" s="8"/>
      <c r="GG1072" s="8"/>
      <c r="GH1072" s="8"/>
      <c r="GI1072" s="8"/>
      <c r="GJ1072" s="8"/>
      <c r="GK1072" s="8"/>
      <c r="GL1072" s="8"/>
      <c r="GM1072" s="8"/>
      <c r="GN1072" s="8"/>
      <c r="GO1072" s="8"/>
      <c r="GP1072" s="8"/>
      <c r="GQ1072" s="8"/>
      <c r="GR1072" s="8"/>
      <c r="GS1072" s="8"/>
      <c r="GT1072" s="8"/>
      <c r="GU1072" s="8"/>
      <c r="GV1072" s="8"/>
      <c r="GW1072" s="8"/>
      <c r="GX1072" s="8"/>
      <c r="GY1072" s="8"/>
      <c r="GZ1072" s="8"/>
      <c r="HA1072" s="8"/>
      <c r="HB1072" s="8"/>
      <c r="HC1072" s="8"/>
      <c r="HD1072" s="8"/>
      <c r="HE1072" s="8"/>
      <c r="HF1072" s="8"/>
      <c r="HG1072" s="8"/>
      <c r="HH1072" s="8"/>
      <c r="HI1072" s="8"/>
      <c r="HJ1072" s="8"/>
      <c r="HK1072" s="8"/>
      <c r="HL1072" s="8"/>
      <c r="HM1072" s="8"/>
      <c r="HN1072" s="8"/>
      <c r="HO1072" s="8"/>
      <c r="HP1072" s="8"/>
      <c r="HQ1072" s="8"/>
      <c r="HR1072" s="8"/>
      <c r="HS1072" s="8"/>
      <c r="HT1072" s="8"/>
      <c r="HU1072" s="8"/>
      <c r="HV1072" s="8"/>
      <c r="HW1072" s="8"/>
      <c r="HX1072" s="8"/>
      <c r="HY1072" s="8"/>
      <c r="HZ1072" s="8"/>
      <c r="IA1072" s="8"/>
      <c r="IB1072" s="8"/>
      <c r="IC1072" s="8"/>
      <c r="ID1072" s="8"/>
      <c r="IE1072" s="8"/>
      <c r="IF1072" s="8"/>
    </row>
    <row r="1073" spans="1:240" ht="30" customHeight="1">
      <c r="A1073" s="5">
        <v>1071</v>
      </c>
      <c r="B1073" s="5"/>
      <c r="C1073" s="5"/>
      <c r="D1073" s="5" t="s">
        <v>68</v>
      </c>
      <c r="E1073" s="5" t="e">
        <f>35*#REF!</f>
        <v>#REF!</v>
      </c>
      <c r="F1073" s="5" t="s">
        <v>48</v>
      </c>
      <c r="G1073" s="5" t="e">
        <f>50*#REF!</f>
        <v>#REF!</v>
      </c>
      <c r="H1073" s="15">
        <f>221*0.454</f>
        <v>100.334</v>
      </c>
      <c r="I1073" s="5" t="s">
        <v>13</v>
      </c>
      <c r="J1073" s="15">
        <f>15/4.4</f>
        <v>3.4090909090909087</v>
      </c>
      <c r="K1073" s="15">
        <f t="shared" si="29"/>
        <v>5.5560000000000009</v>
      </c>
      <c r="L1073" s="5">
        <v>17.600000000000001</v>
      </c>
      <c r="M1073" s="15">
        <f t="shared" si="30"/>
        <v>5.5549999999999997</v>
      </c>
      <c r="N1073" s="5"/>
      <c r="O1073" s="15">
        <f>2120*1.6978</f>
        <v>3599.3359999999998</v>
      </c>
      <c r="P1073" s="5"/>
      <c r="Q1073" s="5"/>
      <c r="R1073" s="5">
        <v>1</v>
      </c>
      <c r="S1073" s="5" t="e">
        <f>18*#REF!</f>
        <v>#REF!</v>
      </c>
      <c r="T1073" s="5"/>
      <c r="U1073" s="5">
        <v>1200</v>
      </c>
      <c r="V1073" s="15">
        <f>1/6*0.7457</f>
        <v>0.12428333333333333</v>
      </c>
      <c r="W1073" s="5" t="s">
        <v>96</v>
      </c>
      <c r="X1073" s="5" t="s">
        <v>89</v>
      </c>
      <c r="Y1073" s="5" t="s">
        <v>48</v>
      </c>
      <c r="Z1073" s="5" t="s">
        <v>48</v>
      </c>
      <c r="AA1073" s="5"/>
      <c r="AB1073" s="5"/>
      <c r="AC1073" s="5"/>
      <c r="AD1073" s="5"/>
      <c r="AE1073" s="5"/>
      <c r="AF1073" s="5"/>
      <c r="AG1073" s="5"/>
      <c r="AH1073" s="16">
        <f>1675*0.7705</f>
        <v>1290.5874999999999</v>
      </c>
      <c r="AI1073" s="5"/>
      <c r="AJ1073" s="5"/>
      <c r="AK1073" s="5"/>
      <c r="AL1073" s="5"/>
      <c r="AM1073" s="16">
        <f>AH1073</f>
        <v>1290.5874999999999</v>
      </c>
      <c r="AN1073" s="5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8"/>
      <c r="BS1073" s="8"/>
      <c r="BT1073" s="8"/>
      <c r="BU1073" s="8"/>
      <c r="BV1073" s="8"/>
      <c r="BW1073" s="8"/>
      <c r="BX1073" s="8"/>
      <c r="BY1073" s="8"/>
      <c r="BZ1073" s="8"/>
      <c r="CA1073" s="8"/>
      <c r="CB1073" s="8"/>
      <c r="CC1073" s="8"/>
      <c r="CD1073" s="8"/>
      <c r="CE1073" s="8"/>
      <c r="CF1073" s="8"/>
      <c r="CG1073" s="8"/>
      <c r="CH1073" s="8"/>
      <c r="CI1073" s="8"/>
      <c r="CJ1073" s="8"/>
      <c r="CK1073" s="8"/>
      <c r="CL1073" s="8"/>
      <c r="CM1073" s="8"/>
      <c r="CN1073" s="8"/>
      <c r="CO1073" s="8"/>
      <c r="CP1073" s="8"/>
      <c r="CQ1073" s="8"/>
      <c r="CR1073" s="8"/>
      <c r="CS1073" s="8"/>
      <c r="CT1073" s="8"/>
      <c r="CU1073" s="8"/>
      <c r="CV1073" s="8"/>
      <c r="CW1073" s="8"/>
      <c r="CX1073" s="8"/>
      <c r="CY1073" s="8"/>
      <c r="CZ1073" s="8"/>
      <c r="DA1073" s="8"/>
      <c r="DB1073" s="8"/>
      <c r="DC1073" s="8"/>
      <c r="DD1073" s="8"/>
      <c r="DE1073" s="8"/>
      <c r="DF1073" s="8"/>
      <c r="DG1073" s="8"/>
      <c r="DH1073" s="8"/>
      <c r="DI1073" s="8"/>
      <c r="DJ1073" s="8"/>
      <c r="DK1073" s="8"/>
      <c r="DL1073" s="8"/>
      <c r="DM1073" s="8"/>
      <c r="DN1073" s="8"/>
      <c r="DO1073" s="8"/>
      <c r="DP1073" s="8"/>
      <c r="DQ1073" s="8"/>
      <c r="DR1073" s="8"/>
      <c r="DS1073" s="8"/>
      <c r="DT1073" s="8"/>
      <c r="DU1073" s="8"/>
      <c r="DV1073" s="8"/>
      <c r="DW1073" s="8"/>
      <c r="DX1073" s="8"/>
      <c r="DY1073" s="8"/>
      <c r="DZ1073" s="8"/>
      <c r="EA1073" s="8"/>
      <c r="EB1073" s="8"/>
      <c r="EC1073" s="8"/>
      <c r="ED1073" s="8"/>
      <c r="EE1073" s="8"/>
      <c r="EF1073" s="8"/>
      <c r="EG1073" s="8"/>
      <c r="EH1073" s="8"/>
      <c r="EI1073" s="8"/>
      <c r="EJ1073" s="8"/>
      <c r="EK1073" s="8"/>
      <c r="EL1073" s="8"/>
      <c r="EM1073" s="8"/>
      <c r="EN1073" s="8"/>
      <c r="EO1073" s="8"/>
      <c r="EP1073" s="8"/>
      <c r="EQ1073" s="8"/>
      <c r="ER1073" s="8"/>
      <c r="ES1073" s="8"/>
      <c r="ET1073" s="8"/>
      <c r="EU1073" s="8"/>
      <c r="EV1073" s="8"/>
      <c r="EW1073" s="8"/>
      <c r="EX1073" s="8"/>
      <c r="EY1073" s="8"/>
      <c r="EZ1073" s="8"/>
      <c r="FA1073" s="8"/>
      <c r="FB1073" s="8"/>
      <c r="FC1073" s="8"/>
      <c r="FD1073" s="8"/>
      <c r="FE1073" s="8"/>
      <c r="FF1073" s="8"/>
      <c r="FG1073" s="8"/>
      <c r="FH1073" s="8"/>
      <c r="FI1073" s="8"/>
      <c r="FJ1073" s="8"/>
      <c r="FK1073" s="8"/>
      <c r="FL1073" s="8"/>
      <c r="FM1073" s="8"/>
      <c r="FN1073" s="8"/>
      <c r="FO1073" s="8"/>
      <c r="FP1073" s="8"/>
      <c r="FQ1073" s="8"/>
      <c r="FR1073" s="8"/>
      <c r="FS1073" s="8"/>
      <c r="FT1073" s="8"/>
      <c r="FU1073" s="8"/>
      <c r="FV1073" s="8"/>
      <c r="FW1073" s="8"/>
      <c r="FX1073" s="8"/>
      <c r="FY1073" s="8"/>
      <c r="FZ1073" s="8"/>
      <c r="GA1073" s="8"/>
      <c r="GB1073" s="8"/>
      <c r="GC1073" s="8"/>
      <c r="GD1073" s="8"/>
      <c r="GE1073" s="8"/>
      <c r="GF1073" s="8"/>
      <c r="GG1073" s="8"/>
      <c r="GH1073" s="8"/>
      <c r="GI1073" s="8"/>
      <c r="GJ1073" s="8"/>
      <c r="GK1073" s="8"/>
      <c r="GL1073" s="8"/>
      <c r="GM1073" s="8"/>
      <c r="GN1073" s="8"/>
      <c r="GO1073" s="8"/>
      <c r="GP1073" s="8"/>
      <c r="GQ1073" s="8"/>
      <c r="GR1073" s="8"/>
      <c r="GS1073" s="8"/>
      <c r="GT1073" s="8"/>
      <c r="GU1073" s="8"/>
      <c r="GV1073" s="8"/>
      <c r="GW1073" s="8"/>
      <c r="GX1073" s="8"/>
      <c r="GY1073" s="8"/>
      <c r="GZ1073" s="8"/>
      <c r="HA1073" s="8"/>
      <c r="HB1073" s="8"/>
      <c r="HC1073" s="8"/>
      <c r="HD1073" s="8"/>
      <c r="HE1073" s="8"/>
      <c r="HF1073" s="8"/>
      <c r="HG1073" s="8"/>
      <c r="HH1073" s="8"/>
      <c r="HI1073" s="8"/>
      <c r="HJ1073" s="8"/>
      <c r="HK1073" s="8"/>
      <c r="HL1073" s="8"/>
      <c r="HM1073" s="8"/>
      <c r="HN1073" s="8"/>
      <c r="HO1073" s="8"/>
      <c r="HP1073" s="8"/>
      <c r="HQ1073" s="8"/>
      <c r="HR1073" s="8"/>
      <c r="HS1073" s="8"/>
      <c r="HT1073" s="8"/>
      <c r="HU1073" s="8"/>
      <c r="HV1073" s="8"/>
      <c r="HW1073" s="8"/>
      <c r="HX1073" s="8"/>
      <c r="HY1073" s="8"/>
      <c r="HZ1073" s="8"/>
      <c r="IA1073" s="8"/>
      <c r="IB1073" s="8"/>
      <c r="IC1073" s="8"/>
      <c r="ID1073" s="8"/>
      <c r="IE1073" s="8"/>
      <c r="IF1073" s="8"/>
    </row>
    <row r="1074" spans="1:240" ht="30" customHeight="1">
      <c r="A1074" s="5">
        <v>1072</v>
      </c>
      <c r="B1074" s="5"/>
      <c r="C1074" s="5"/>
      <c r="D1074" s="5" t="s">
        <v>68</v>
      </c>
      <c r="E1074" s="5" t="e">
        <f>33*#REF!</f>
        <v>#REF!</v>
      </c>
      <c r="F1074" s="5" t="s">
        <v>48</v>
      </c>
      <c r="G1074" s="5" t="e">
        <f>57*#REF!</f>
        <v>#REF!</v>
      </c>
      <c r="H1074" s="15">
        <f>304*0.454</f>
        <v>138.01599999999999</v>
      </c>
      <c r="I1074" s="5" t="s">
        <v>13</v>
      </c>
      <c r="J1074" s="15">
        <f>24/4.4</f>
        <v>5.4545454545454541</v>
      </c>
      <c r="K1074" s="15">
        <f t="shared" si="29"/>
        <v>5.5560000000000009</v>
      </c>
      <c r="L1074" s="5">
        <v>28.1</v>
      </c>
      <c r="M1074" s="15">
        <f t="shared" si="30"/>
        <v>5.5549999999999997</v>
      </c>
      <c r="N1074" s="5"/>
      <c r="O1074" s="15">
        <f>2650*1.6978</f>
        <v>4499.17</v>
      </c>
      <c r="P1074" s="5"/>
      <c r="Q1074" s="5"/>
      <c r="R1074" s="5">
        <v>1</v>
      </c>
      <c r="S1074" s="5" t="e">
        <f>18*#REF!</f>
        <v>#REF!</v>
      </c>
      <c r="T1074" s="5"/>
      <c r="U1074" s="5">
        <v>1200</v>
      </c>
      <c r="V1074" s="15">
        <f>1/6*0.7457</f>
        <v>0.12428333333333333</v>
      </c>
      <c r="W1074" s="5" t="s">
        <v>96</v>
      </c>
      <c r="X1074" s="5" t="s">
        <v>90</v>
      </c>
      <c r="Y1074" s="5" t="s">
        <v>48</v>
      </c>
      <c r="Z1074" s="5" t="s">
        <v>48</v>
      </c>
      <c r="AA1074" s="5"/>
      <c r="AB1074" s="5"/>
      <c r="AC1074" s="5"/>
      <c r="AD1074" s="5"/>
      <c r="AE1074" s="5"/>
      <c r="AF1074" s="5"/>
      <c r="AG1074" s="5"/>
      <c r="AH1074" s="16">
        <f>2021*0.7705</f>
        <v>1557.1804999999999</v>
      </c>
      <c r="AI1074" s="5"/>
      <c r="AJ1074" s="5"/>
      <c r="AK1074" s="5"/>
      <c r="AL1074" s="5"/>
      <c r="AM1074" s="16">
        <f>AH1074</f>
        <v>1557.1804999999999</v>
      </c>
      <c r="AN1074" s="5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8"/>
      <c r="BS1074" s="8"/>
      <c r="BT1074" s="8"/>
      <c r="BU1074" s="8"/>
      <c r="BV1074" s="8"/>
      <c r="BW1074" s="8"/>
      <c r="BX1074" s="8"/>
      <c r="BY1074" s="8"/>
      <c r="BZ1074" s="8"/>
      <c r="CA1074" s="8"/>
      <c r="CB1074" s="8"/>
      <c r="CC1074" s="8"/>
      <c r="CD1074" s="8"/>
      <c r="CE1074" s="8"/>
      <c r="CF1074" s="8"/>
      <c r="CG1074" s="8"/>
      <c r="CH1074" s="8"/>
      <c r="CI1074" s="8"/>
      <c r="CJ1074" s="8"/>
      <c r="CK1074" s="8"/>
      <c r="CL1074" s="8"/>
      <c r="CM1074" s="8"/>
      <c r="CN1074" s="8"/>
      <c r="CO1074" s="8"/>
      <c r="CP1074" s="8"/>
      <c r="CQ1074" s="8"/>
      <c r="CR1074" s="8"/>
      <c r="CS1074" s="8"/>
      <c r="CT1074" s="8"/>
      <c r="CU1074" s="8"/>
      <c r="CV1074" s="8"/>
      <c r="CW1074" s="8"/>
      <c r="CX1074" s="8"/>
      <c r="CY1074" s="8"/>
      <c r="CZ1074" s="8"/>
      <c r="DA1074" s="8"/>
      <c r="DB1074" s="8"/>
      <c r="DC1074" s="8"/>
      <c r="DD1074" s="8"/>
      <c r="DE1074" s="8"/>
      <c r="DF1074" s="8"/>
      <c r="DG1074" s="8"/>
      <c r="DH1074" s="8"/>
      <c r="DI1074" s="8"/>
      <c r="DJ1074" s="8"/>
      <c r="DK1074" s="8"/>
      <c r="DL1074" s="8"/>
      <c r="DM1074" s="8"/>
      <c r="DN1074" s="8"/>
      <c r="DO1074" s="8"/>
      <c r="DP1074" s="8"/>
      <c r="DQ1074" s="8"/>
      <c r="DR1074" s="8"/>
      <c r="DS1074" s="8"/>
      <c r="DT1074" s="8"/>
      <c r="DU1074" s="8"/>
      <c r="DV1074" s="8"/>
      <c r="DW1074" s="8"/>
      <c r="DX1074" s="8"/>
      <c r="DY1074" s="8"/>
      <c r="DZ1074" s="8"/>
      <c r="EA1074" s="8"/>
      <c r="EB1074" s="8"/>
      <c r="EC1074" s="8"/>
      <c r="ED1074" s="8"/>
      <c r="EE1074" s="8"/>
      <c r="EF1074" s="8"/>
      <c r="EG1074" s="8"/>
      <c r="EH1074" s="8"/>
      <c r="EI1074" s="8"/>
      <c r="EJ1074" s="8"/>
      <c r="EK1074" s="8"/>
      <c r="EL1074" s="8"/>
      <c r="EM1074" s="8"/>
      <c r="EN1074" s="8"/>
      <c r="EO1074" s="8"/>
      <c r="EP1074" s="8"/>
      <c r="EQ1074" s="8"/>
      <c r="ER1074" s="8"/>
      <c r="ES1074" s="8"/>
      <c r="ET1074" s="8"/>
      <c r="EU1074" s="8"/>
      <c r="EV1074" s="8"/>
      <c r="EW1074" s="8"/>
      <c r="EX1074" s="8"/>
      <c r="EY1074" s="8"/>
      <c r="EZ1074" s="8"/>
      <c r="FA1074" s="8"/>
      <c r="FB1074" s="8"/>
      <c r="FC1074" s="8"/>
      <c r="FD1074" s="8"/>
      <c r="FE1074" s="8"/>
      <c r="FF1074" s="8"/>
      <c r="FG1074" s="8"/>
      <c r="FH1074" s="8"/>
      <c r="FI1074" s="8"/>
      <c r="FJ1074" s="8"/>
      <c r="FK1074" s="8"/>
      <c r="FL1074" s="8"/>
      <c r="FM1074" s="8"/>
      <c r="FN1074" s="8"/>
      <c r="FO1074" s="8"/>
      <c r="FP1074" s="8"/>
      <c r="FQ1074" s="8"/>
      <c r="FR1074" s="8"/>
      <c r="FS1074" s="8"/>
      <c r="FT1074" s="8"/>
      <c r="FU1074" s="8"/>
      <c r="FV1074" s="8"/>
      <c r="FW1074" s="8"/>
      <c r="FX1074" s="8"/>
      <c r="FY1074" s="8"/>
      <c r="FZ1074" s="8"/>
      <c r="GA1074" s="8"/>
      <c r="GB1074" s="8"/>
      <c r="GC1074" s="8"/>
      <c r="GD1074" s="8"/>
      <c r="GE1074" s="8"/>
      <c r="GF1074" s="8"/>
      <c r="GG1074" s="8"/>
      <c r="GH1074" s="8"/>
      <c r="GI1074" s="8"/>
      <c r="GJ1074" s="8"/>
      <c r="GK1074" s="8"/>
      <c r="GL1074" s="8"/>
      <c r="GM1074" s="8"/>
      <c r="GN1074" s="8"/>
      <c r="GO1074" s="8"/>
      <c r="GP1074" s="8"/>
      <c r="GQ1074" s="8"/>
      <c r="GR1074" s="8"/>
      <c r="GS1074" s="8"/>
      <c r="GT1074" s="8"/>
      <c r="GU1074" s="8"/>
      <c r="GV1074" s="8"/>
      <c r="GW1074" s="8"/>
      <c r="GX1074" s="8"/>
      <c r="GY1074" s="8"/>
      <c r="GZ1074" s="8"/>
      <c r="HA1074" s="8"/>
      <c r="HB1074" s="8"/>
      <c r="HC1074" s="8"/>
      <c r="HD1074" s="8"/>
      <c r="HE1074" s="8"/>
      <c r="HF1074" s="8"/>
      <c r="HG1074" s="8"/>
      <c r="HH1074" s="8"/>
      <c r="HI1074" s="8"/>
      <c r="HJ1074" s="8"/>
      <c r="HK1074" s="8"/>
      <c r="HL1074" s="8"/>
      <c r="HM1074" s="8"/>
      <c r="HN1074" s="8"/>
      <c r="HO1074" s="8"/>
      <c r="HP1074" s="8"/>
      <c r="HQ1074" s="8"/>
      <c r="HR1074" s="8"/>
      <c r="HS1074" s="8"/>
      <c r="HT1074" s="8"/>
      <c r="HU1074" s="8"/>
      <c r="HV1074" s="8"/>
      <c r="HW1074" s="8"/>
      <c r="HX1074" s="8"/>
      <c r="HY1074" s="8"/>
      <c r="HZ1074" s="8"/>
      <c r="IA1074" s="8"/>
      <c r="IB1074" s="8"/>
      <c r="IC1074" s="8"/>
      <c r="ID1074" s="8"/>
      <c r="IE1074" s="8"/>
      <c r="IF1074" s="8"/>
    </row>
    <row r="1075" spans="1:240" ht="30" customHeight="1">
      <c r="A1075" s="5">
        <v>1073</v>
      </c>
      <c r="B1075" s="5"/>
      <c r="C1075" s="5"/>
      <c r="D1075" s="5" t="s">
        <v>68</v>
      </c>
      <c r="E1075" s="5" t="e">
        <f>43*#REF!</f>
        <v>#REF!</v>
      </c>
      <c r="F1075" s="5" t="s">
        <v>48</v>
      </c>
      <c r="G1075" s="5" t="e">
        <f>55*#REF!</f>
        <v>#REF!</v>
      </c>
      <c r="H1075" s="15">
        <f>392*0.454</f>
        <v>177.96800000000002</v>
      </c>
      <c r="I1075" s="5" t="s">
        <v>13</v>
      </c>
      <c r="J1075" s="15">
        <f>30/4.4</f>
        <v>6.8181818181818175</v>
      </c>
      <c r="K1075" s="15">
        <f t="shared" si="29"/>
        <v>5.5560000000000009</v>
      </c>
      <c r="L1075" s="5">
        <v>35.200000000000003</v>
      </c>
      <c r="M1075" s="15">
        <f t="shared" si="30"/>
        <v>5.5549999999999997</v>
      </c>
      <c r="N1075" s="5"/>
      <c r="O1075" s="15">
        <f>3530*1.6978</f>
        <v>5993.2339999999995</v>
      </c>
      <c r="P1075" s="5"/>
      <c r="Q1075" s="5"/>
      <c r="R1075" s="5">
        <v>1</v>
      </c>
      <c r="S1075" s="5" t="e">
        <f>26*#REF!</f>
        <v>#REF!</v>
      </c>
      <c r="T1075" s="5"/>
      <c r="U1075" s="5">
        <v>1200</v>
      </c>
      <c r="V1075" s="15">
        <f>1/4*0.7457</f>
        <v>0.18642500000000001</v>
      </c>
      <c r="W1075" s="5" t="s">
        <v>96</v>
      </c>
      <c r="X1075" s="5" t="s">
        <v>91</v>
      </c>
      <c r="Y1075" s="5" t="s">
        <v>48</v>
      </c>
      <c r="Z1075" s="5" t="s">
        <v>48</v>
      </c>
      <c r="AA1075" s="5"/>
      <c r="AB1075" s="5"/>
      <c r="AC1075" s="5"/>
      <c r="AD1075" s="5"/>
      <c r="AE1075" s="5"/>
      <c r="AF1075" s="5"/>
      <c r="AG1075" s="5"/>
      <c r="AH1075" s="16">
        <f>2231*0.7705</f>
        <v>1718.9855</v>
      </c>
      <c r="AI1075" s="5"/>
      <c r="AJ1075" s="5"/>
      <c r="AK1075" s="5"/>
      <c r="AL1075" s="5"/>
      <c r="AM1075" s="16">
        <f>AH1075</f>
        <v>1718.9855</v>
      </c>
      <c r="AN1075" s="5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8"/>
      <c r="BS1075" s="8"/>
      <c r="BT1075" s="8"/>
      <c r="BU1075" s="8"/>
      <c r="BV1075" s="8"/>
      <c r="BW1075" s="8"/>
      <c r="BX1075" s="8"/>
      <c r="BY1075" s="8"/>
      <c r="BZ1075" s="8"/>
      <c r="CA1075" s="8"/>
      <c r="CB1075" s="8"/>
      <c r="CC1075" s="8"/>
      <c r="CD1075" s="8"/>
      <c r="CE1075" s="8"/>
      <c r="CF1075" s="8"/>
      <c r="CG1075" s="8"/>
      <c r="CH1075" s="8"/>
      <c r="CI1075" s="8"/>
      <c r="CJ1075" s="8"/>
      <c r="CK1075" s="8"/>
      <c r="CL1075" s="8"/>
      <c r="CM1075" s="8"/>
      <c r="CN1075" s="8"/>
      <c r="CO1075" s="8"/>
      <c r="CP1075" s="8"/>
      <c r="CQ1075" s="8"/>
      <c r="CR1075" s="8"/>
      <c r="CS1075" s="8"/>
      <c r="CT1075" s="8"/>
      <c r="CU1075" s="8"/>
      <c r="CV1075" s="8"/>
      <c r="CW1075" s="8"/>
      <c r="CX1075" s="8"/>
      <c r="CY1075" s="8"/>
      <c r="CZ1075" s="8"/>
      <c r="DA1075" s="8"/>
      <c r="DB1075" s="8"/>
      <c r="DC1075" s="8"/>
      <c r="DD1075" s="8"/>
      <c r="DE1075" s="8"/>
      <c r="DF1075" s="8"/>
      <c r="DG1075" s="8"/>
      <c r="DH1075" s="8"/>
      <c r="DI1075" s="8"/>
      <c r="DJ1075" s="8"/>
      <c r="DK1075" s="8"/>
      <c r="DL1075" s="8"/>
      <c r="DM1075" s="8"/>
      <c r="DN1075" s="8"/>
      <c r="DO1075" s="8"/>
      <c r="DP1075" s="8"/>
      <c r="DQ1075" s="8"/>
      <c r="DR1075" s="8"/>
      <c r="DS1075" s="8"/>
      <c r="DT1075" s="8"/>
      <c r="DU1075" s="8"/>
      <c r="DV1075" s="8"/>
      <c r="DW1075" s="8"/>
      <c r="DX1075" s="8"/>
      <c r="DY1075" s="8"/>
      <c r="DZ1075" s="8"/>
      <c r="EA1075" s="8"/>
      <c r="EB1075" s="8"/>
      <c r="EC1075" s="8"/>
      <c r="ED1075" s="8"/>
      <c r="EE1075" s="8"/>
      <c r="EF1075" s="8"/>
      <c r="EG1075" s="8"/>
      <c r="EH1075" s="8"/>
      <c r="EI1075" s="8"/>
      <c r="EJ1075" s="8"/>
      <c r="EK1075" s="8"/>
      <c r="EL1075" s="8"/>
      <c r="EM1075" s="8"/>
      <c r="EN1075" s="8"/>
      <c r="EO1075" s="8"/>
      <c r="EP1075" s="8"/>
      <c r="EQ1075" s="8"/>
      <c r="ER1075" s="8"/>
      <c r="ES1075" s="8"/>
      <c r="ET1075" s="8"/>
      <c r="EU1075" s="8"/>
      <c r="EV1075" s="8"/>
      <c r="EW1075" s="8"/>
      <c r="EX1075" s="8"/>
      <c r="EY1075" s="8"/>
      <c r="EZ1075" s="8"/>
      <c r="FA1075" s="8"/>
      <c r="FB1075" s="8"/>
      <c r="FC1075" s="8"/>
      <c r="FD1075" s="8"/>
      <c r="FE1075" s="8"/>
      <c r="FF1075" s="8"/>
      <c r="FG1075" s="8"/>
      <c r="FH1075" s="8"/>
      <c r="FI1075" s="8"/>
      <c r="FJ1075" s="8"/>
      <c r="FK1075" s="8"/>
      <c r="FL1075" s="8"/>
      <c r="FM1075" s="8"/>
      <c r="FN1075" s="8"/>
      <c r="FO1075" s="8"/>
      <c r="FP1075" s="8"/>
      <c r="FQ1075" s="8"/>
      <c r="FR1075" s="8"/>
      <c r="FS1075" s="8"/>
      <c r="FT1075" s="8"/>
      <c r="FU1075" s="8"/>
      <c r="FV1075" s="8"/>
      <c r="FW1075" s="8"/>
      <c r="FX1075" s="8"/>
      <c r="FY1075" s="8"/>
      <c r="FZ1075" s="8"/>
      <c r="GA1075" s="8"/>
      <c r="GB1075" s="8"/>
      <c r="GC1075" s="8"/>
      <c r="GD1075" s="8"/>
      <c r="GE1075" s="8"/>
      <c r="GF1075" s="8"/>
      <c r="GG1075" s="8"/>
      <c r="GH1075" s="8"/>
      <c r="GI1075" s="8"/>
      <c r="GJ1075" s="8"/>
      <c r="GK1075" s="8"/>
      <c r="GL1075" s="8"/>
      <c r="GM1075" s="8"/>
      <c r="GN1075" s="8"/>
      <c r="GO1075" s="8"/>
      <c r="GP1075" s="8"/>
      <c r="GQ1075" s="8"/>
      <c r="GR1075" s="8"/>
      <c r="GS1075" s="8"/>
      <c r="GT1075" s="8"/>
      <c r="GU1075" s="8"/>
      <c r="GV1075" s="8"/>
      <c r="GW1075" s="8"/>
      <c r="GX1075" s="8"/>
      <c r="GY1075" s="8"/>
      <c r="GZ1075" s="8"/>
      <c r="HA1075" s="8"/>
      <c r="HB1075" s="8"/>
      <c r="HC1075" s="8"/>
      <c r="HD1075" s="8"/>
      <c r="HE1075" s="8"/>
      <c r="HF1075" s="8"/>
      <c r="HG1075" s="8"/>
      <c r="HH1075" s="8"/>
      <c r="HI1075" s="8"/>
      <c r="HJ1075" s="8"/>
      <c r="HK1075" s="8"/>
      <c r="HL1075" s="8"/>
      <c r="HM1075" s="8"/>
      <c r="HN1075" s="8"/>
      <c r="HO1075" s="8"/>
      <c r="HP1075" s="8"/>
      <c r="HQ1075" s="8"/>
      <c r="HR1075" s="8"/>
      <c r="HS1075" s="8"/>
      <c r="HT1075" s="8"/>
      <c r="HU1075" s="8"/>
      <c r="HV1075" s="8"/>
      <c r="HW1075" s="8"/>
      <c r="HX1075" s="8"/>
      <c r="HY1075" s="8"/>
      <c r="HZ1075" s="8"/>
      <c r="IA1075" s="8"/>
      <c r="IB1075" s="8"/>
      <c r="IC1075" s="8"/>
      <c r="ID1075" s="8"/>
      <c r="IE1075" s="8"/>
      <c r="IF1075" s="8"/>
    </row>
    <row r="1076" spans="1:240" ht="30" customHeight="1">
      <c r="A1076" s="5">
        <v>1074</v>
      </c>
      <c r="B1076" s="5"/>
      <c r="C1076" s="5"/>
      <c r="D1076" s="5" t="s">
        <v>68</v>
      </c>
      <c r="E1076" s="5" t="e">
        <f>43*#REF!</f>
        <v>#REF!</v>
      </c>
      <c r="F1076" s="5" t="s">
        <v>48</v>
      </c>
      <c r="G1076" s="5" t="e">
        <f>60*#REF!</f>
        <v>#REF!</v>
      </c>
      <c r="H1076" s="15">
        <f>573*0.454</f>
        <v>260.142</v>
      </c>
      <c r="I1076" s="5" t="s">
        <v>13</v>
      </c>
      <c r="J1076" s="15">
        <f>45/4.4</f>
        <v>10.227272727272727</v>
      </c>
      <c r="K1076" s="15">
        <f t="shared" si="29"/>
        <v>5.5560000000000009</v>
      </c>
      <c r="L1076" s="5">
        <v>52.8</v>
      </c>
      <c r="M1076" s="15">
        <f t="shared" si="30"/>
        <v>5.5549999999999997</v>
      </c>
      <c r="N1076" s="5"/>
      <c r="O1076" s="15">
        <f>4950*1.6978</f>
        <v>8404.11</v>
      </c>
      <c r="P1076" s="5"/>
      <c r="Q1076" s="5"/>
      <c r="R1076" s="5">
        <v>1</v>
      </c>
      <c r="S1076" s="5" t="e">
        <f>26*#REF!</f>
        <v>#REF!</v>
      </c>
      <c r="T1076" s="5"/>
      <c r="U1076" s="5">
        <v>1200</v>
      </c>
      <c r="V1076" s="15">
        <f>1/2*0.7457</f>
        <v>0.37285000000000001</v>
      </c>
      <c r="W1076" s="5" t="s">
        <v>97</v>
      </c>
      <c r="X1076" s="5" t="s">
        <v>91</v>
      </c>
      <c r="Y1076" s="5" t="s">
        <v>48</v>
      </c>
      <c r="Z1076" s="5" t="s">
        <v>48</v>
      </c>
      <c r="AA1076" s="5"/>
      <c r="AB1076" s="5"/>
      <c r="AC1076" s="5"/>
      <c r="AD1076" s="5"/>
      <c r="AE1076" s="5"/>
      <c r="AF1076" s="5"/>
      <c r="AG1076" s="5"/>
      <c r="AH1076" s="16">
        <f>2625*0.7705</f>
        <v>2022.5625</v>
      </c>
      <c r="AI1076" s="5"/>
      <c r="AJ1076" s="5"/>
      <c r="AK1076" s="5"/>
      <c r="AL1076" s="5"/>
      <c r="AM1076" s="16">
        <f>AH1076</f>
        <v>2022.5625</v>
      </c>
      <c r="AN1076" s="5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8"/>
      <c r="BS1076" s="8"/>
      <c r="BT1076" s="8"/>
      <c r="BU1076" s="8"/>
      <c r="BV1076" s="8"/>
      <c r="BW1076" s="8"/>
      <c r="BX1076" s="8"/>
      <c r="BY1076" s="8"/>
      <c r="BZ1076" s="8"/>
      <c r="CA1076" s="8"/>
      <c r="CB1076" s="8"/>
      <c r="CC1076" s="8"/>
      <c r="CD1076" s="8"/>
      <c r="CE1076" s="8"/>
      <c r="CF1076" s="8"/>
      <c r="CG1076" s="8"/>
      <c r="CH1076" s="8"/>
      <c r="CI1076" s="8"/>
      <c r="CJ1076" s="8"/>
      <c r="CK1076" s="8"/>
      <c r="CL1076" s="8"/>
      <c r="CM1076" s="8"/>
      <c r="CN1076" s="8"/>
      <c r="CO1076" s="8"/>
      <c r="CP1076" s="8"/>
      <c r="CQ1076" s="8"/>
      <c r="CR1076" s="8"/>
      <c r="CS1076" s="8"/>
      <c r="CT1076" s="8"/>
      <c r="CU1076" s="8"/>
      <c r="CV1076" s="8"/>
      <c r="CW1076" s="8"/>
      <c r="CX1076" s="8"/>
      <c r="CY1076" s="8"/>
      <c r="CZ1076" s="8"/>
      <c r="DA1076" s="8"/>
      <c r="DB1076" s="8"/>
      <c r="DC1076" s="8"/>
      <c r="DD1076" s="8"/>
      <c r="DE1076" s="8"/>
      <c r="DF1076" s="8"/>
      <c r="DG1076" s="8"/>
      <c r="DH1076" s="8"/>
      <c r="DI1076" s="8"/>
      <c r="DJ1076" s="8"/>
      <c r="DK1076" s="8"/>
      <c r="DL1076" s="8"/>
      <c r="DM1076" s="8"/>
      <c r="DN1076" s="8"/>
      <c r="DO1076" s="8"/>
      <c r="DP1076" s="8"/>
      <c r="DQ1076" s="8"/>
      <c r="DR1076" s="8"/>
      <c r="DS1076" s="8"/>
      <c r="DT1076" s="8"/>
      <c r="DU1076" s="8"/>
      <c r="DV1076" s="8"/>
      <c r="DW1076" s="8"/>
      <c r="DX1076" s="8"/>
      <c r="DY1076" s="8"/>
      <c r="DZ1076" s="8"/>
      <c r="EA1076" s="8"/>
      <c r="EB1076" s="8"/>
      <c r="EC1076" s="8"/>
      <c r="ED1076" s="8"/>
      <c r="EE1076" s="8"/>
      <c r="EF1076" s="8"/>
      <c r="EG1076" s="8"/>
      <c r="EH1076" s="8"/>
      <c r="EI1076" s="8"/>
      <c r="EJ1076" s="8"/>
      <c r="EK1076" s="8"/>
      <c r="EL1076" s="8"/>
      <c r="EM1076" s="8"/>
      <c r="EN1076" s="8"/>
      <c r="EO1076" s="8"/>
      <c r="EP1076" s="8"/>
      <c r="EQ1076" s="8"/>
      <c r="ER1076" s="8"/>
      <c r="ES1076" s="8"/>
      <c r="ET1076" s="8"/>
      <c r="EU1076" s="8"/>
      <c r="EV1076" s="8"/>
      <c r="EW1076" s="8"/>
      <c r="EX1076" s="8"/>
      <c r="EY1076" s="8"/>
      <c r="EZ1076" s="8"/>
      <c r="FA1076" s="8"/>
      <c r="FB1076" s="8"/>
      <c r="FC1076" s="8"/>
      <c r="FD1076" s="8"/>
      <c r="FE1076" s="8"/>
      <c r="FF1076" s="8"/>
      <c r="FG1076" s="8"/>
      <c r="FH1076" s="8"/>
      <c r="FI1076" s="8"/>
      <c r="FJ1076" s="8"/>
      <c r="FK1076" s="8"/>
      <c r="FL1076" s="8"/>
      <c r="FM1076" s="8"/>
      <c r="FN1076" s="8"/>
      <c r="FO1076" s="8"/>
      <c r="FP1076" s="8"/>
      <c r="FQ1076" s="8"/>
      <c r="FR1076" s="8"/>
      <c r="FS1076" s="8"/>
      <c r="FT1076" s="8"/>
      <c r="FU1076" s="8"/>
      <c r="FV1076" s="8"/>
      <c r="FW1076" s="8"/>
      <c r="FX1076" s="8"/>
      <c r="FY1076" s="8"/>
      <c r="FZ1076" s="8"/>
      <c r="GA1076" s="8"/>
      <c r="GB1076" s="8"/>
      <c r="GC1076" s="8"/>
      <c r="GD1076" s="8"/>
      <c r="GE1076" s="8"/>
      <c r="GF1076" s="8"/>
      <c r="GG1076" s="8"/>
      <c r="GH1076" s="8"/>
      <c r="GI1076" s="8"/>
      <c r="GJ1076" s="8"/>
      <c r="GK1076" s="8"/>
      <c r="GL1076" s="8"/>
      <c r="GM1076" s="8"/>
      <c r="GN1076" s="8"/>
      <c r="GO1076" s="8"/>
      <c r="GP1076" s="8"/>
      <c r="GQ1076" s="8"/>
      <c r="GR1076" s="8"/>
      <c r="GS1076" s="8"/>
      <c r="GT1076" s="8"/>
      <c r="GU1076" s="8"/>
      <c r="GV1076" s="8"/>
      <c r="GW1076" s="8"/>
      <c r="GX1076" s="8"/>
      <c r="GY1076" s="8"/>
      <c r="GZ1076" s="8"/>
      <c r="HA1076" s="8"/>
      <c r="HB1076" s="8"/>
      <c r="HC1076" s="8"/>
      <c r="HD1076" s="8"/>
      <c r="HE1076" s="8"/>
      <c r="HF1076" s="8"/>
      <c r="HG1076" s="8"/>
      <c r="HH1076" s="8"/>
      <c r="HI1076" s="8"/>
      <c r="HJ1076" s="8"/>
      <c r="HK1076" s="8"/>
      <c r="HL1076" s="8"/>
      <c r="HM1076" s="8"/>
      <c r="HN1076" s="8"/>
      <c r="HO1076" s="8"/>
      <c r="HP1076" s="8"/>
      <c r="HQ1076" s="8"/>
      <c r="HR1076" s="8"/>
      <c r="HS1076" s="8"/>
      <c r="HT1076" s="8"/>
      <c r="HU1076" s="8"/>
      <c r="HV1076" s="8"/>
      <c r="HW1076" s="8"/>
      <c r="HX1076" s="8"/>
      <c r="HY1076" s="8"/>
      <c r="HZ1076" s="8"/>
      <c r="IA1076" s="8"/>
      <c r="IB1076" s="8"/>
      <c r="IC1076" s="8"/>
      <c r="ID1076" s="8"/>
      <c r="IE1076" s="8"/>
      <c r="IF1076" s="8"/>
    </row>
    <row r="1077" spans="1:240" ht="30" customHeight="1">
      <c r="A1077" s="5">
        <v>1075</v>
      </c>
      <c r="B1077" s="5"/>
      <c r="C1077" s="5"/>
      <c r="D1077" s="5" t="s">
        <v>68</v>
      </c>
      <c r="E1077" s="5" t="e">
        <f>47*#REF!</f>
        <v>#REF!</v>
      </c>
      <c r="F1077" s="5" t="s">
        <v>48</v>
      </c>
      <c r="G1077" s="5" t="e">
        <f>62*#REF!</f>
        <v>#REF!</v>
      </c>
      <c r="H1077" s="15">
        <f>728*0.454</f>
        <v>330.512</v>
      </c>
      <c r="I1077" s="5" t="s">
        <v>13</v>
      </c>
      <c r="J1077" s="15">
        <f>60/4.4</f>
        <v>13.636363636363635</v>
      </c>
      <c r="K1077" s="15">
        <f t="shared" si="29"/>
        <v>5.5560000000000009</v>
      </c>
      <c r="L1077" s="5">
        <v>70.3</v>
      </c>
      <c r="M1077" s="15">
        <f t="shared" si="30"/>
        <v>5.5549999999999997</v>
      </c>
      <c r="N1077" s="5"/>
      <c r="O1077" s="15">
        <f>6350*1.6978</f>
        <v>10781.03</v>
      </c>
      <c r="P1077" s="5"/>
      <c r="Q1077" s="5"/>
      <c r="R1077" s="5">
        <v>1</v>
      </c>
      <c r="S1077" s="5" t="e">
        <f>26*#REF!</f>
        <v>#REF!</v>
      </c>
      <c r="T1077" s="5"/>
      <c r="U1077" s="5">
        <v>1200</v>
      </c>
      <c r="V1077" s="15">
        <f>1/2*0.7457</f>
        <v>0.37285000000000001</v>
      </c>
      <c r="W1077" s="5" t="s">
        <v>97</v>
      </c>
      <c r="X1077" s="5" t="s">
        <v>92</v>
      </c>
      <c r="Y1077" s="5" t="s">
        <v>48</v>
      </c>
      <c r="Z1077" s="5" t="s">
        <v>48</v>
      </c>
      <c r="AA1077" s="5"/>
      <c r="AB1077" s="5"/>
      <c r="AC1077" s="5"/>
      <c r="AD1077" s="5"/>
      <c r="AE1077" s="5"/>
      <c r="AF1077" s="5"/>
      <c r="AG1077" s="5"/>
      <c r="AH1077" s="16">
        <f>3545*0.7705</f>
        <v>2731.4224999999997</v>
      </c>
      <c r="AI1077" s="5"/>
      <c r="AJ1077" s="5"/>
      <c r="AK1077" s="5"/>
      <c r="AL1077" s="5"/>
      <c r="AM1077" s="16">
        <f t="shared" ref="AM1077:AM1099" si="31">AH1077</f>
        <v>2731.4224999999997</v>
      </c>
      <c r="AN1077" s="5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8"/>
      <c r="BS1077" s="8"/>
      <c r="BT1077" s="8"/>
      <c r="BU1077" s="8"/>
      <c r="BV1077" s="8"/>
      <c r="BW1077" s="8"/>
      <c r="BX1077" s="8"/>
      <c r="BY1077" s="8"/>
      <c r="BZ1077" s="8"/>
      <c r="CA1077" s="8"/>
      <c r="CB1077" s="8"/>
      <c r="CC1077" s="8"/>
      <c r="CD1077" s="8"/>
      <c r="CE1077" s="8"/>
      <c r="CF1077" s="8"/>
      <c r="CG1077" s="8"/>
      <c r="CH1077" s="8"/>
      <c r="CI1077" s="8"/>
      <c r="CJ1077" s="8"/>
      <c r="CK1077" s="8"/>
      <c r="CL1077" s="8"/>
      <c r="CM1077" s="8"/>
      <c r="CN1077" s="8"/>
      <c r="CO1077" s="8"/>
      <c r="CP1077" s="8"/>
      <c r="CQ1077" s="8"/>
      <c r="CR1077" s="8"/>
      <c r="CS1077" s="8"/>
      <c r="CT1077" s="8"/>
      <c r="CU1077" s="8"/>
      <c r="CV1077" s="8"/>
      <c r="CW1077" s="8"/>
      <c r="CX1077" s="8"/>
      <c r="CY1077" s="8"/>
      <c r="CZ1077" s="8"/>
      <c r="DA1077" s="8"/>
      <c r="DB1077" s="8"/>
      <c r="DC1077" s="8"/>
      <c r="DD1077" s="8"/>
      <c r="DE1077" s="8"/>
      <c r="DF1077" s="8"/>
      <c r="DG1077" s="8"/>
      <c r="DH1077" s="8"/>
      <c r="DI1077" s="8"/>
      <c r="DJ1077" s="8"/>
      <c r="DK1077" s="8"/>
      <c r="DL1077" s="8"/>
      <c r="DM1077" s="8"/>
      <c r="DN1077" s="8"/>
      <c r="DO1077" s="8"/>
      <c r="DP1077" s="8"/>
      <c r="DQ1077" s="8"/>
      <c r="DR1077" s="8"/>
      <c r="DS1077" s="8"/>
      <c r="DT1077" s="8"/>
      <c r="DU1077" s="8"/>
      <c r="DV1077" s="8"/>
      <c r="DW1077" s="8"/>
      <c r="DX1077" s="8"/>
      <c r="DY1077" s="8"/>
      <c r="DZ1077" s="8"/>
      <c r="EA1077" s="8"/>
      <c r="EB1077" s="8"/>
      <c r="EC1077" s="8"/>
      <c r="ED1077" s="8"/>
      <c r="EE1077" s="8"/>
      <c r="EF1077" s="8"/>
      <c r="EG1077" s="8"/>
      <c r="EH1077" s="8"/>
      <c r="EI1077" s="8"/>
      <c r="EJ1077" s="8"/>
      <c r="EK1077" s="8"/>
      <c r="EL1077" s="8"/>
      <c r="EM1077" s="8"/>
      <c r="EN1077" s="8"/>
      <c r="EO1077" s="8"/>
      <c r="EP1077" s="8"/>
      <c r="EQ1077" s="8"/>
      <c r="ER1077" s="8"/>
      <c r="ES1077" s="8"/>
      <c r="ET1077" s="8"/>
      <c r="EU1077" s="8"/>
      <c r="EV1077" s="8"/>
      <c r="EW1077" s="8"/>
      <c r="EX1077" s="8"/>
      <c r="EY1077" s="8"/>
      <c r="EZ1077" s="8"/>
      <c r="FA1077" s="8"/>
      <c r="FB1077" s="8"/>
      <c r="FC1077" s="8"/>
      <c r="FD1077" s="8"/>
      <c r="FE1077" s="8"/>
      <c r="FF1077" s="8"/>
      <c r="FG1077" s="8"/>
      <c r="FH1077" s="8"/>
      <c r="FI1077" s="8"/>
      <c r="FJ1077" s="8"/>
      <c r="FK1077" s="8"/>
      <c r="FL1077" s="8"/>
      <c r="FM1077" s="8"/>
      <c r="FN1077" s="8"/>
      <c r="FO1077" s="8"/>
      <c r="FP1077" s="8"/>
      <c r="FQ1077" s="8"/>
      <c r="FR1077" s="8"/>
      <c r="FS1077" s="8"/>
      <c r="FT1077" s="8"/>
      <c r="FU1077" s="8"/>
      <c r="FV1077" s="8"/>
      <c r="FW1077" s="8"/>
      <c r="FX1077" s="8"/>
      <c r="FY1077" s="8"/>
      <c r="FZ1077" s="8"/>
      <c r="GA1077" s="8"/>
      <c r="GB1077" s="8"/>
      <c r="GC1077" s="8"/>
      <c r="GD1077" s="8"/>
      <c r="GE1077" s="8"/>
      <c r="GF1077" s="8"/>
      <c r="GG1077" s="8"/>
      <c r="GH1077" s="8"/>
      <c r="GI1077" s="8"/>
      <c r="GJ1077" s="8"/>
      <c r="GK1077" s="8"/>
      <c r="GL1077" s="8"/>
      <c r="GM1077" s="8"/>
      <c r="GN1077" s="8"/>
      <c r="GO1077" s="8"/>
      <c r="GP1077" s="8"/>
      <c r="GQ1077" s="8"/>
      <c r="GR1077" s="8"/>
      <c r="GS1077" s="8"/>
      <c r="GT1077" s="8"/>
      <c r="GU1077" s="8"/>
      <c r="GV1077" s="8"/>
      <c r="GW1077" s="8"/>
      <c r="GX1077" s="8"/>
      <c r="GY1077" s="8"/>
      <c r="GZ1077" s="8"/>
      <c r="HA1077" s="8"/>
      <c r="HB1077" s="8"/>
      <c r="HC1077" s="8"/>
      <c r="HD1077" s="8"/>
      <c r="HE1077" s="8"/>
      <c r="HF1077" s="8"/>
      <c r="HG1077" s="8"/>
      <c r="HH1077" s="8"/>
      <c r="HI1077" s="8"/>
      <c r="HJ1077" s="8"/>
      <c r="HK1077" s="8"/>
      <c r="HL1077" s="8"/>
      <c r="HM1077" s="8"/>
      <c r="HN1077" s="8"/>
      <c r="HO1077" s="8"/>
      <c r="HP1077" s="8"/>
      <c r="HQ1077" s="8"/>
      <c r="HR1077" s="8"/>
      <c r="HS1077" s="8"/>
      <c r="HT1077" s="8"/>
      <c r="HU1077" s="8"/>
      <c r="HV1077" s="8"/>
      <c r="HW1077" s="8"/>
      <c r="HX1077" s="8"/>
      <c r="HY1077" s="8"/>
      <c r="HZ1077" s="8"/>
      <c r="IA1077" s="8"/>
      <c r="IB1077" s="8"/>
      <c r="IC1077" s="8"/>
      <c r="ID1077" s="8"/>
      <c r="IE1077" s="8"/>
      <c r="IF1077" s="8"/>
    </row>
    <row r="1078" spans="1:240" ht="30" customHeight="1">
      <c r="A1078" s="5">
        <v>1076</v>
      </c>
      <c r="B1078" s="5"/>
      <c r="C1078" s="5"/>
      <c r="D1078" s="5" t="s">
        <v>68</v>
      </c>
      <c r="E1078" s="5" t="e">
        <f>55*#REF!</f>
        <v>#REF!</v>
      </c>
      <c r="F1078" s="5" t="s">
        <v>48</v>
      </c>
      <c r="G1078" s="5" t="e">
        <f>67*#REF!</f>
        <v>#REF!</v>
      </c>
      <c r="H1078" s="15">
        <f>926*0.454</f>
        <v>420.404</v>
      </c>
      <c r="I1078" s="5" t="s">
        <v>13</v>
      </c>
      <c r="J1078" s="15">
        <f>75/4.4</f>
        <v>17.045454545454543</v>
      </c>
      <c r="K1078" s="15">
        <f t="shared" si="29"/>
        <v>5.5560000000000009</v>
      </c>
      <c r="L1078" s="5">
        <v>87.9</v>
      </c>
      <c r="M1078" s="15">
        <f t="shared" si="30"/>
        <v>5.5549999999999997</v>
      </c>
      <c r="N1078" s="5"/>
      <c r="O1078" s="15">
        <f>7060*1.6978</f>
        <v>11986.467999999999</v>
      </c>
      <c r="P1078" s="5"/>
      <c r="Q1078" s="5"/>
      <c r="R1078" s="5">
        <v>1</v>
      </c>
      <c r="S1078" s="5" t="e">
        <f>34*#REF!</f>
        <v>#REF!</v>
      </c>
      <c r="T1078" s="5"/>
      <c r="U1078" s="5">
        <v>1200</v>
      </c>
      <c r="V1078" s="15">
        <f>3/4*0.7457</f>
        <v>0.55927499999999997</v>
      </c>
      <c r="W1078" s="5" t="s">
        <v>98</v>
      </c>
      <c r="X1078" s="5" t="s">
        <v>93</v>
      </c>
      <c r="Y1078" s="5" t="s">
        <v>48</v>
      </c>
      <c r="Z1078" s="5" t="s">
        <v>48</v>
      </c>
      <c r="AA1078" s="5"/>
      <c r="AB1078" s="5"/>
      <c r="AC1078" s="5"/>
      <c r="AD1078" s="5"/>
      <c r="AE1078" s="5"/>
      <c r="AF1078" s="5"/>
      <c r="AG1078" s="5"/>
      <c r="AH1078" s="16">
        <f>3755*0.7705</f>
        <v>2893.2275</v>
      </c>
      <c r="AI1078" s="5"/>
      <c r="AJ1078" s="5"/>
      <c r="AK1078" s="5"/>
      <c r="AL1078" s="5"/>
      <c r="AM1078" s="16">
        <f t="shared" si="31"/>
        <v>2893.2275</v>
      </c>
      <c r="AN1078" s="5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8"/>
      <c r="BS1078" s="8"/>
      <c r="BT1078" s="8"/>
      <c r="BU1078" s="8"/>
      <c r="BV1078" s="8"/>
      <c r="BW1078" s="8"/>
      <c r="BX1078" s="8"/>
      <c r="BY1078" s="8"/>
      <c r="BZ1078" s="8"/>
      <c r="CA1078" s="8"/>
      <c r="CB1078" s="8"/>
      <c r="CC1078" s="8"/>
      <c r="CD1078" s="8"/>
      <c r="CE1078" s="8"/>
      <c r="CF1078" s="8"/>
      <c r="CG1078" s="8"/>
      <c r="CH1078" s="8"/>
      <c r="CI1078" s="8"/>
      <c r="CJ1078" s="8"/>
      <c r="CK1078" s="8"/>
      <c r="CL1078" s="8"/>
      <c r="CM1078" s="8"/>
      <c r="CN1078" s="8"/>
      <c r="CO1078" s="8"/>
      <c r="CP1078" s="8"/>
      <c r="CQ1078" s="8"/>
      <c r="CR1078" s="8"/>
      <c r="CS1078" s="8"/>
      <c r="CT1078" s="8"/>
      <c r="CU1078" s="8"/>
      <c r="CV1078" s="8"/>
      <c r="CW1078" s="8"/>
      <c r="CX1078" s="8"/>
      <c r="CY1078" s="8"/>
      <c r="CZ1078" s="8"/>
      <c r="DA1078" s="8"/>
      <c r="DB1078" s="8"/>
      <c r="DC1078" s="8"/>
      <c r="DD1078" s="8"/>
      <c r="DE1078" s="8"/>
      <c r="DF1078" s="8"/>
      <c r="DG1078" s="8"/>
      <c r="DH1078" s="8"/>
      <c r="DI1078" s="8"/>
      <c r="DJ1078" s="8"/>
      <c r="DK1078" s="8"/>
      <c r="DL1078" s="8"/>
      <c r="DM1078" s="8"/>
      <c r="DN1078" s="8"/>
      <c r="DO1078" s="8"/>
      <c r="DP1078" s="8"/>
      <c r="DQ1078" s="8"/>
      <c r="DR1078" s="8"/>
      <c r="DS1078" s="8"/>
      <c r="DT1078" s="8"/>
      <c r="DU1078" s="8"/>
      <c r="DV1078" s="8"/>
      <c r="DW1078" s="8"/>
      <c r="DX1078" s="8"/>
      <c r="DY1078" s="8"/>
      <c r="DZ1078" s="8"/>
      <c r="EA1078" s="8"/>
      <c r="EB1078" s="8"/>
      <c r="EC1078" s="8"/>
      <c r="ED1078" s="8"/>
      <c r="EE1078" s="8"/>
      <c r="EF1078" s="8"/>
      <c r="EG1078" s="8"/>
      <c r="EH1078" s="8"/>
      <c r="EI1078" s="8"/>
      <c r="EJ1078" s="8"/>
      <c r="EK1078" s="8"/>
      <c r="EL1078" s="8"/>
      <c r="EM1078" s="8"/>
      <c r="EN1078" s="8"/>
      <c r="EO1078" s="8"/>
      <c r="EP1078" s="8"/>
      <c r="EQ1078" s="8"/>
      <c r="ER1078" s="8"/>
      <c r="ES1078" s="8"/>
      <c r="ET1078" s="8"/>
      <c r="EU1078" s="8"/>
      <c r="EV1078" s="8"/>
      <c r="EW1078" s="8"/>
      <c r="EX1078" s="8"/>
      <c r="EY1078" s="8"/>
      <c r="EZ1078" s="8"/>
      <c r="FA1078" s="8"/>
      <c r="FB1078" s="8"/>
      <c r="FC1078" s="8"/>
      <c r="FD1078" s="8"/>
      <c r="FE1078" s="8"/>
      <c r="FF1078" s="8"/>
      <c r="FG1078" s="8"/>
      <c r="FH1078" s="8"/>
      <c r="FI1078" s="8"/>
      <c r="FJ1078" s="8"/>
      <c r="FK1078" s="8"/>
      <c r="FL1078" s="8"/>
      <c r="FM1078" s="8"/>
      <c r="FN1078" s="8"/>
      <c r="FO1078" s="8"/>
      <c r="FP1078" s="8"/>
      <c r="FQ1078" s="8"/>
      <c r="FR1078" s="8"/>
      <c r="FS1078" s="8"/>
      <c r="FT1078" s="8"/>
      <c r="FU1078" s="8"/>
      <c r="FV1078" s="8"/>
      <c r="FW1078" s="8"/>
      <c r="FX1078" s="8"/>
      <c r="FY1078" s="8"/>
      <c r="FZ1078" s="8"/>
      <c r="GA1078" s="8"/>
      <c r="GB1078" s="8"/>
      <c r="GC1078" s="8"/>
      <c r="GD1078" s="8"/>
      <c r="GE1078" s="8"/>
      <c r="GF1078" s="8"/>
      <c r="GG1078" s="8"/>
      <c r="GH1078" s="8"/>
      <c r="GI1078" s="8"/>
      <c r="GJ1078" s="8"/>
      <c r="GK1078" s="8"/>
      <c r="GL1078" s="8"/>
      <c r="GM1078" s="8"/>
      <c r="GN1078" s="8"/>
      <c r="GO1078" s="8"/>
      <c r="GP1078" s="8"/>
      <c r="GQ1078" s="8"/>
      <c r="GR1078" s="8"/>
      <c r="GS1078" s="8"/>
      <c r="GT1078" s="8"/>
      <c r="GU1078" s="8"/>
      <c r="GV1078" s="8"/>
      <c r="GW1078" s="8"/>
      <c r="GX1078" s="8"/>
      <c r="GY1078" s="8"/>
      <c r="GZ1078" s="8"/>
      <c r="HA1078" s="8"/>
      <c r="HB1078" s="8"/>
      <c r="HC1078" s="8"/>
      <c r="HD1078" s="8"/>
      <c r="HE1078" s="8"/>
      <c r="HF1078" s="8"/>
      <c r="HG1078" s="8"/>
      <c r="HH1078" s="8"/>
      <c r="HI1078" s="8"/>
      <c r="HJ1078" s="8"/>
      <c r="HK1078" s="8"/>
      <c r="HL1078" s="8"/>
      <c r="HM1078" s="8"/>
      <c r="HN1078" s="8"/>
      <c r="HO1078" s="8"/>
      <c r="HP1078" s="8"/>
      <c r="HQ1078" s="8"/>
      <c r="HR1078" s="8"/>
      <c r="HS1078" s="8"/>
      <c r="HT1078" s="8"/>
      <c r="HU1078" s="8"/>
      <c r="HV1078" s="8"/>
      <c r="HW1078" s="8"/>
      <c r="HX1078" s="8"/>
      <c r="HY1078" s="8"/>
      <c r="HZ1078" s="8"/>
      <c r="IA1078" s="8"/>
      <c r="IB1078" s="8"/>
      <c r="IC1078" s="8"/>
      <c r="ID1078" s="8"/>
      <c r="IE1078" s="8"/>
      <c r="IF1078" s="8"/>
    </row>
    <row r="1079" spans="1:240" ht="30" customHeight="1">
      <c r="A1079" s="5">
        <v>1077</v>
      </c>
      <c r="B1079" s="5"/>
      <c r="C1079" s="5"/>
      <c r="D1079" s="5" t="s">
        <v>68</v>
      </c>
      <c r="E1079" s="5" t="e">
        <f>64*#REF!</f>
        <v>#REF!</v>
      </c>
      <c r="F1079" s="5" t="s">
        <v>48</v>
      </c>
      <c r="G1079" s="5" t="e">
        <f>70*#REF!</f>
        <v>#REF!</v>
      </c>
      <c r="H1079" s="15">
        <f>1103*0.454</f>
        <v>500.762</v>
      </c>
      <c r="I1079" s="5" t="s">
        <v>13</v>
      </c>
      <c r="J1079" s="15">
        <f>90/4.4</f>
        <v>20.454545454545453</v>
      </c>
      <c r="K1079" s="15">
        <f t="shared" si="29"/>
        <v>5.5560000000000009</v>
      </c>
      <c r="L1079" s="5">
        <v>105.5</v>
      </c>
      <c r="M1079" s="15">
        <f t="shared" si="30"/>
        <v>5.5549999999999997</v>
      </c>
      <c r="N1079" s="5"/>
      <c r="O1079" s="15">
        <f>7950*1.6978</f>
        <v>13497.51</v>
      </c>
      <c r="P1079" s="5"/>
      <c r="Q1079" s="5"/>
      <c r="R1079" s="5">
        <v>1</v>
      </c>
      <c r="S1079" s="5" t="e">
        <f>34*#REF!</f>
        <v>#REF!</v>
      </c>
      <c r="T1079" s="5"/>
      <c r="U1079" s="5">
        <v>1200</v>
      </c>
      <c r="V1079" s="15">
        <f>3/4*0.7457</f>
        <v>0.55927499999999997</v>
      </c>
      <c r="W1079" s="5" t="s">
        <v>98</v>
      </c>
      <c r="X1079" s="5" t="s">
        <v>59</v>
      </c>
      <c r="Y1079" s="5" t="s">
        <v>48</v>
      </c>
      <c r="Z1079" s="5" t="s">
        <v>48</v>
      </c>
      <c r="AA1079" s="5"/>
      <c r="AB1079" s="5"/>
      <c r="AC1079" s="5"/>
      <c r="AD1079" s="5"/>
      <c r="AE1079" s="5"/>
      <c r="AF1079" s="5"/>
      <c r="AG1079" s="5"/>
      <c r="AH1079" s="16">
        <f>4440*0.7705</f>
        <v>3421.02</v>
      </c>
      <c r="AI1079" s="5"/>
      <c r="AJ1079" s="5"/>
      <c r="AK1079" s="5"/>
      <c r="AL1079" s="5"/>
      <c r="AM1079" s="16">
        <f t="shared" si="31"/>
        <v>3421.02</v>
      </c>
      <c r="AN1079" s="5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8"/>
      <c r="BS1079" s="8"/>
      <c r="BT1079" s="8"/>
      <c r="BU1079" s="8"/>
      <c r="BV1079" s="8"/>
      <c r="BW1079" s="8"/>
      <c r="BX1079" s="8"/>
      <c r="BY1079" s="8"/>
      <c r="BZ1079" s="8"/>
      <c r="CA1079" s="8"/>
      <c r="CB1079" s="8"/>
      <c r="CC1079" s="8"/>
      <c r="CD1079" s="8"/>
      <c r="CE1079" s="8"/>
      <c r="CF1079" s="8"/>
      <c r="CG1079" s="8"/>
      <c r="CH1079" s="8"/>
      <c r="CI1079" s="8"/>
      <c r="CJ1079" s="8"/>
      <c r="CK1079" s="8"/>
      <c r="CL1079" s="8"/>
      <c r="CM1079" s="8"/>
      <c r="CN1079" s="8"/>
      <c r="CO1079" s="8"/>
      <c r="CP1079" s="8"/>
      <c r="CQ1079" s="8"/>
      <c r="CR1079" s="8"/>
      <c r="CS1079" s="8"/>
      <c r="CT1079" s="8"/>
      <c r="CU1079" s="8"/>
      <c r="CV1079" s="8"/>
      <c r="CW1079" s="8"/>
      <c r="CX1079" s="8"/>
      <c r="CY1079" s="8"/>
      <c r="CZ1079" s="8"/>
      <c r="DA1079" s="8"/>
      <c r="DB1079" s="8"/>
      <c r="DC1079" s="8"/>
      <c r="DD1079" s="8"/>
      <c r="DE1079" s="8"/>
      <c r="DF1079" s="8"/>
      <c r="DG1079" s="8"/>
      <c r="DH1079" s="8"/>
      <c r="DI1079" s="8"/>
      <c r="DJ1079" s="8"/>
      <c r="DK1079" s="8"/>
      <c r="DL1079" s="8"/>
      <c r="DM1079" s="8"/>
      <c r="DN1079" s="8"/>
      <c r="DO1079" s="8"/>
      <c r="DP1079" s="8"/>
      <c r="DQ1079" s="8"/>
      <c r="DR1079" s="8"/>
      <c r="DS1079" s="8"/>
      <c r="DT1079" s="8"/>
      <c r="DU1079" s="8"/>
      <c r="DV1079" s="8"/>
      <c r="DW1079" s="8"/>
      <c r="DX1079" s="8"/>
      <c r="DY1079" s="8"/>
      <c r="DZ1079" s="8"/>
      <c r="EA1079" s="8"/>
      <c r="EB1079" s="8"/>
      <c r="EC1079" s="8"/>
      <c r="ED1079" s="8"/>
      <c r="EE1079" s="8"/>
      <c r="EF1079" s="8"/>
      <c r="EG1079" s="8"/>
      <c r="EH1079" s="8"/>
      <c r="EI1079" s="8"/>
      <c r="EJ1079" s="8"/>
      <c r="EK1079" s="8"/>
      <c r="EL1079" s="8"/>
      <c r="EM1079" s="8"/>
      <c r="EN1079" s="8"/>
      <c r="EO1079" s="8"/>
      <c r="EP1079" s="8"/>
      <c r="EQ1079" s="8"/>
      <c r="ER1079" s="8"/>
      <c r="ES1079" s="8"/>
      <c r="ET1079" s="8"/>
      <c r="EU1079" s="8"/>
      <c r="EV1079" s="8"/>
      <c r="EW1079" s="8"/>
      <c r="EX1079" s="8"/>
      <c r="EY1079" s="8"/>
      <c r="EZ1079" s="8"/>
      <c r="FA1079" s="8"/>
      <c r="FB1079" s="8"/>
      <c r="FC1079" s="8"/>
      <c r="FD1079" s="8"/>
      <c r="FE1079" s="8"/>
      <c r="FF1079" s="8"/>
      <c r="FG1079" s="8"/>
      <c r="FH1079" s="8"/>
      <c r="FI1079" s="8"/>
      <c r="FJ1079" s="8"/>
      <c r="FK1079" s="8"/>
      <c r="FL1079" s="8"/>
      <c r="FM1079" s="8"/>
      <c r="FN1079" s="8"/>
      <c r="FO1079" s="8"/>
      <c r="FP1079" s="8"/>
      <c r="FQ1079" s="8"/>
      <c r="FR1079" s="8"/>
      <c r="FS1079" s="8"/>
      <c r="FT1079" s="8"/>
      <c r="FU1079" s="8"/>
      <c r="FV1079" s="8"/>
      <c r="FW1079" s="8"/>
      <c r="FX1079" s="8"/>
      <c r="FY1079" s="8"/>
      <c r="FZ1079" s="8"/>
      <c r="GA1079" s="8"/>
      <c r="GB1079" s="8"/>
      <c r="GC1079" s="8"/>
      <c r="GD1079" s="8"/>
      <c r="GE1079" s="8"/>
      <c r="GF1079" s="8"/>
      <c r="GG1079" s="8"/>
      <c r="GH1079" s="8"/>
      <c r="GI1079" s="8"/>
      <c r="GJ1079" s="8"/>
      <c r="GK1079" s="8"/>
      <c r="GL1079" s="8"/>
      <c r="GM1079" s="8"/>
      <c r="GN1079" s="8"/>
      <c r="GO1079" s="8"/>
      <c r="GP1079" s="8"/>
      <c r="GQ1079" s="8"/>
      <c r="GR1079" s="8"/>
      <c r="GS1079" s="8"/>
      <c r="GT1079" s="8"/>
      <c r="GU1079" s="8"/>
      <c r="GV1079" s="8"/>
      <c r="GW1079" s="8"/>
      <c r="GX1079" s="8"/>
      <c r="GY1079" s="8"/>
      <c r="GZ1079" s="8"/>
      <c r="HA1079" s="8"/>
      <c r="HB1079" s="8"/>
      <c r="HC1079" s="8"/>
      <c r="HD1079" s="8"/>
      <c r="HE1079" s="8"/>
      <c r="HF1079" s="8"/>
      <c r="HG1079" s="8"/>
      <c r="HH1079" s="8"/>
      <c r="HI1079" s="8"/>
      <c r="HJ1079" s="8"/>
      <c r="HK1079" s="8"/>
      <c r="HL1079" s="8"/>
      <c r="HM1079" s="8"/>
      <c r="HN1079" s="8"/>
      <c r="HO1079" s="8"/>
      <c r="HP1079" s="8"/>
      <c r="HQ1079" s="8"/>
      <c r="HR1079" s="8"/>
      <c r="HS1079" s="8"/>
      <c r="HT1079" s="8"/>
      <c r="HU1079" s="8"/>
      <c r="HV1079" s="8"/>
      <c r="HW1079" s="8"/>
      <c r="HX1079" s="8"/>
      <c r="HY1079" s="8"/>
      <c r="HZ1079" s="8"/>
      <c r="IA1079" s="8"/>
      <c r="IB1079" s="8"/>
      <c r="IC1079" s="8"/>
      <c r="ID1079" s="8"/>
      <c r="IE1079" s="8"/>
      <c r="IF1079" s="8"/>
    </row>
    <row r="1080" spans="1:240" ht="30" customHeight="1">
      <c r="A1080" s="5">
        <v>1078</v>
      </c>
      <c r="B1080" s="5"/>
      <c r="C1080" s="5"/>
      <c r="D1080" s="5" t="s">
        <v>68</v>
      </c>
      <c r="E1080" s="5" t="e">
        <f>71*#REF!</f>
        <v>#REF!</v>
      </c>
      <c r="F1080" s="5" t="s">
        <v>48</v>
      </c>
      <c r="G1080" s="5" t="e">
        <f>70*#REF!</f>
        <v>#REF!</v>
      </c>
      <c r="H1080" s="15">
        <f>1213*0.454</f>
        <v>550.702</v>
      </c>
      <c r="I1080" s="5" t="s">
        <v>13</v>
      </c>
      <c r="J1080" s="15">
        <f>120/4.4</f>
        <v>27.27272727272727</v>
      </c>
      <c r="K1080" s="15">
        <f t="shared" si="29"/>
        <v>5.5560000000000009</v>
      </c>
      <c r="L1080" s="5">
        <v>140.69999999999999</v>
      </c>
      <c r="M1080" s="15">
        <f t="shared" si="30"/>
        <v>5.5549999999999997</v>
      </c>
      <c r="N1080" s="5"/>
      <c r="O1080" s="15">
        <f>9890*1.6978</f>
        <v>16791.241999999998</v>
      </c>
      <c r="P1080" s="5"/>
      <c r="Q1080" s="5"/>
      <c r="R1080" s="5">
        <v>1</v>
      </c>
      <c r="S1080" s="5" t="e">
        <f>38*#REF!</f>
        <v>#REF!</v>
      </c>
      <c r="T1080" s="5"/>
      <c r="U1080" s="5">
        <v>1200</v>
      </c>
      <c r="V1080" s="15">
        <f>1*0.7457</f>
        <v>0.74570000000000003</v>
      </c>
      <c r="W1080" s="5" t="s">
        <v>98</v>
      </c>
      <c r="X1080" s="5" t="s">
        <v>64</v>
      </c>
      <c r="Y1080" s="5" t="s">
        <v>48</v>
      </c>
      <c r="Z1080" s="5" t="s">
        <v>48</v>
      </c>
      <c r="AA1080" s="5"/>
      <c r="AB1080" s="5"/>
      <c r="AC1080" s="5"/>
      <c r="AD1080" s="5"/>
      <c r="AE1080" s="5"/>
      <c r="AF1080" s="5"/>
      <c r="AG1080" s="5"/>
      <c r="AH1080" s="16">
        <f>5515*0.7705</f>
        <v>4249.3074999999999</v>
      </c>
      <c r="AI1080" s="5"/>
      <c r="AJ1080" s="5"/>
      <c r="AK1080" s="5"/>
      <c r="AL1080" s="5"/>
      <c r="AM1080" s="16">
        <f t="shared" si="31"/>
        <v>4249.3074999999999</v>
      </c>
      <c r="AN1080" s="5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8"/>
      <c r="BS1080" s="8"/>
      <c r="BT1080" s="8"/>
      <c r="BU1080" s="8"/>
      <c r="BV1080" s="8"/>
      <c r="BW1080" s="8"/>
      <c r="BX1080" s="8"/>
      <c r="BY1080" s="8"/>
      <c r="BZ1080" s="8"/>
      <c r="CA1080" s="8"/>
      <c r="CB1080" s="8"/>
      <c r="CC1080" s="8"/>
      <c r="CD1080" s="8"/>
      <c r="CE1080" s="8"/>
      <c r="CF1080" s="8"/>
      <c r="CG1080" s="8"/>
      <c r="CH1080" s="8"/>
      <c r="CI1080" s="8"/>
      <c r="CJ1080" s="8"/>
      <c r="CK1080" s="8"/>
      <c r="CL1080" s="8"/>
      <c r="CM1080" s="8"/>
      <c r="CN1080" s="8"/>
      <c r="CO1080" s="8"/>
      <c r="CP1080" s="8"/>
      <c r="CQ1080" s="8"/>
      <c r="CR1080" s="8"/>
      <c r="CS1080" s="8"/>
      <c r="CT1080" s="8"/>
      <c r="CU1080" s="8"/>
      <c r="CV1080" s="8"/>
      <c r="CW1080" s="8"/>
      <c r="CX1080" s="8"/>
      <c r="CY1080" s="8"/>
      <c r="CZ1080" s="8"/>
      <c r="DA1080" s="8"/>
      <c r="DB1080" s="8"/>
      <c r="DC1080" s="8"/>
      <c r="DD1080" s="8"/>
      <c r="DE1080" s="8"/>
      <c r="DF1080" s="8"/>
      <c r="DG1080" s="8"/>
      <c r="DH1080" s="8"/>
      <c r="DI1080" s="8"/>
      <c r="DJ1080" s="8"/>
      <c r="DK1080" s="8"/>
      <c r="DL1080" s="8"/>
      <c r="DM1080" s="8"/>
      <c r="DN1080" s="8"/>
      <c r="DO1080" s="8"/>
      <c r="DP1080" s="8"/>
      <c r="DQ1080" s="8"/>
      <c r="DR1080" s="8"/>
      <c r="DS1080" s="8"/>
      <c r="DT1080" s="8"/>
      <c r="DU1080" s="8"/>
      <c r="DV1080" s="8"/>
      <c r="DW1080" s="8"/>
      <c r="DX1080" s="8"/>
      <c r="DY1080" s="8"/>
      <c r="DZ1080" s="8"/>
      <c r="EA1080" s="8"/>
      <c r="EB1080" s="8"/>
      <c r="EC1080" s="8"/>
      <c r="ED1080" s="8"/>
      <c r="EE1080" s="8"/>
      <c r="EF1080" s="8"/>
      <c r="EG1080" s="8"/>
      <c r="EH1080" s="8"/>
      <c r="EI1080" s="8"/>
      <c r="EJ1080" s="8"/>
      <c r="EK1080" s="8"/>
      <c r="EL1080" s="8"/>
      <c r="EM1080" s="8"/>
      <c r="EN1080" s="8"/>
      <c r="EO1080" s="8"/>
      <c r="EP1080" s="8"/>
      <c r="EQ1080" s="8"/>
      <c r="ER1080" s="8"/>
      <c r="ES1080" s="8"/>
      <c r="ET1080" s="8"/>
      <c r="EU1080" s="8"/>
      <c r="EV1080" s="8"/>
      <c r="EW1080" s="8"/>
      <c r="EX1080" s="8"/>
      <c r="EY1080" s="8"/>
      <c r="EZ1080" s="8"/>
      <c r="FA1080" s="8"/>
      <c r="FB1080" s="8"/>
      <c r="FC1080" s="8"/>
      <c r="FD1080" s="8"/>
      <c r="FE1080" s="8"/>
      <c r="FF1080" s="8"/>
      <c r="FG1080" s="8"/>
      <c r="FH1080" s="8"/>
      <c r="FI1080" s="8"/>
      <c r="FJ1080" s="8"/>
      <c r="FK1080" s="8"/>
      <c r="FL1080" s="8"/>
      <c r="FM1080" s="8"/>
      <c r="FN1080" s="8"/>
      <c r="FO1080" s="8"/>
      <c r="FP1080" s="8"/>
      <c r="FQ1080" s="8"/>
      <c r="FR1080" s="8"/>
      <c r="FS1080" s="8"/>
      <c r="FT1080" s="8"/>
      <c r="FU1080" s="8"/>
      <c r="FV1080" s="8"/>
      <c r="FW1080" s="8"/>
      <c r="FX1080" s="8"/>
      <c r="FY1080" s="8"/>
      <c r="FZ1080" s="8"/>
      <c r="GA1080" s="8"/>
      <c r="GB1080" s="8"/>
      <c r="GC1080" s="8"/>
      <c r="GD1080" s="8"/>
      <c r="GE1080" s="8"/>
      <c r="GF1080" s="8"/>
      <c r="GG1080" s="8"/>
      <c r="GH1080" s="8"/>
      <c r="GI1080" s="8"/>
      <c r="GJ1080" s="8"/>
      <c r="GK1080" s="8"/>
      <c r="GL1080" s="8"/>
      <c r="GM1080" s="8"/>
      <c r="GN1080" s="8"/>
      <c r="GO1080" s="8"/>
      <c r="GP1080" s="8"/>
      <c r="GQ1080" s="8"/>
      <c r="GR1080" s="8"/>
      <c r="GS1080" s="8"/>
      <c r="GT1080" s="8"/>
      <c r="GU1080" s="8"/>
      <c r="GV1080" s="8"/>
      <c r="GW1080" s="8"/>
      <c r="GX1080" s="8"/>
      <c r="GY1080" s="8"/>
      <c r="GZ1080" s="8"/>
      <c r="HA1080" s="8"/>
      <c r="HB1080" s="8"/>
      <c r="HC1080" s="8"/>
      <c r="HD1080" s="8"/>
      <c r="HE1080" s="8"/>
      <c r="HF1080" s="8"/>
      <c r="HG1080" s="8"/>
      <c r="HH1080" s="8"/>
      <c r="HI1080" s="8"/>
      <c r="HJ1080" s="8"/>
      <c r="HK1080" s="8"/>
      <c r="HL1080" s="8"/>
      <c r="HM1080" s="8"/>
      <c r="HN1080" s="8"/>
      <c r="HO1080" s="8"/>
      <c r="HP1080" s="8"/>
      <c r="HQ1080" s="8"/>
      <c r="HR1080" s="8"/>
      <c r="HS1080" s="8"/>
      <c r="HT1080" s="8"/>
      <c r="HU1080" s="8"/>
      <c r="HV1080" s="8"/>
      <c r="HW1080" s="8"/>
      <c r="HX1080" s="8"/>
      <c r="HY1080" s="8"/>
      <c r="HZ1080" s="8"/>
      <c r="IA1080" s="8"/>
      <c r="IB1080" s="8"/>
      <c r="IC1080" s="8"/>
      <c r="ID1080" s="8"/>
      <c r="IE1080" s="8"/>
      <c r="IF1080" s="8"/>
    </row>
    <row r="1081" spans="1:240" ht="30" customHeight="1">
      <c r="A1081" s="5">
        <v>1079</v>
      </c>
      <c r="B1081" s="5"/>
      <c r="C1081" s="5"/>
      <c r="D1081" s="5" t="s">
        <v>68</v>
      </c>
      <c r="E1081" s="5" t="e">
        <f>78*#REF!</f>
        <v>#REF!</v>
      </c>
      <c r="F1081" s="5" t="s">
        <v>48</v>
      </c>
      <c r="G1081" s="5" t="e">
        <f>72*#REF!</f>
        <v>#REF!</v>
      </c>
      <c r="H1081" s="15">
        <f>1544*0.454</f>
        <v>700.976</v>
      </c>
      <c r="I1081" s="5" t="s">
        <v>13</v>
      </c>
      <c r="J1081" s="15">
        <f>165/4.4</f>
        <v>37.5</v>
      </c>
      <c r="K1081" s="15">
        <f t="shared" si="29"/>
        <v>5.5560000000000009</v>
      </c>
      <c r="L1081" s="5">
        <v>175.8</v>
      </c>
      <c r="M1081" s="15">
        <f t="shared" si="30"/>
        <v>5.5549999999999997</v>
      </c>
      <c r="N1081" s="5"/>
      <c r="O1081" s="15">
        <f>11650*1.6978</f>
        <v>19779.37</v>
      </c>
      <c r="P1081" s="5"/>
      <c r="Q1081" s="5"/>
      <c r="R1081" s="5">
        <v>1</v>
      </c>
      <c r="S1081" s="5" t="e">
        <f>38*#REF!</f>
        <v>#REF!</v>
      </c>
      <c r="T1081" s="5"/>
      <c r="U1081" s="5">
        <v>1200</v>
      </c>
      <c r="V1081" s="15">
        <f>1*0.7457</f>
        <v>0.74570000000000003</v>
      </c>
      <c r="W1081" s="5" t="s">
        <v>98</v>
      </c>
      <c r="X1081" s="5" t="s">
        <v>64</v>
      </c>
      <c r="Y1081" s="5" t="s">
        <v>48</v>
      </c>
      <c r="Z1081" s="5" t="s">
        <v>48</v>
      </c>
      <c r="AA1081" s="5"/>
      <c r="AB1081" s="5"/>
      <c r="AC1081" s="5"/>
      <c r="AD1081" s="5"/>
      <c r="AE1081" s="5"/>
      <c r="AF1081" s="5"/>
      <c r="AG1081" s="5"/>
      <c r="AH1081" s="16">
        <f>6300*0.7705</f>
        <v>4854.1499999999996</v>
      </c>
      <c r="AI1081" s="5"/>
      <c r="AJ1081" s="5"/>
      <c r="AK1081" s="5"/>
      <c r="AL1081" s="5"/>
      <c r="AM1081" s="16">
        <f t="shared" si="31"/>
        <v>4854.1499999999996</v>
      </c>
      <c r="AN1081" s="5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8"/>
      <c r="BS1081" s="8"/>
      <c r="BT1081" s="8"/>
      <c r="BU1081" s="8"/>
      <c r="BV1081" s="8"/>
      <c r="BW1081" s="8"/>
      <c r="BX1081" s="8"/>
      <c r="BY1081" s="8"/>
      <c r="BZ1081" s="8"/>
      <c r="CA1081" s="8"/>
      <c r="CB1081" s="8"/>
      <c r="CC1081" s="8"/>
      <c r="CD1081" s="8"/>
      <c r="CE1081" s="8"/>
      <c r="CF1081" s="8"/>
      <c r="CG1081" s="8"/>
      <c r="CH1081" s="8"/>
      <c r="CI1081" s="8"/>
      <c r="CJ1081" s="8"/>
      <c r="CK1081" s="8"/>
      <c r="CL1081" s="8"/>
      <c r="CM1081" s="8"/>
      <c r="CN1081" s="8"/>
      <c r="CO1081" s="8"/>
      <c r="CP1081" s="8"/>
      <c r="CQ1081" s="8"/>
      <c r="CR1081" s="8"/>
      <c r="CS1081" s="8"/>
      <c r="CT1081" s="8"/>
      <c r="CU1081" s="8"/>
      <c r="CV1081" s="8"/>
      <c r="CW1081" s="8"/>
      <c r="CX1081" s="8"/>
      <c r="CY1081" s="8"/>
      <c r="CZ1081" s="8"/>
      <c r="DA1081" s="8"/>
      <c r="DB1081" s="8"/>
      <c r="DC1081" s="8"/>
      <c r="DD1081" s="8"/>
      <c r="DE1081" s="8"/>
      <c r="DF1081" s="8"/>
      <c r="DG1081" s="8"/>
      <c r="DH1081" s="8"/>
      <c r="DI1081" s="8"/>
      <c r="DJ1081" s="8"/>
      <c r="DK1081" s="8"/>
      <c r="DL1081" s="8"/>
      <c r="DM1081" s="8"/>
      <c r="DN1081" s="8"/>
      <c r="DO1081" s="8"/>
      <c r="DP1081" s="8"/>
      <c r="DQ1081" s="8"/>
      <c r="DR1081" s="8"/>
      <c r="DS1081" s="8"/>
      <c r="DT1081" s="8"/>
      <c r="DU1081" s="8"/>
      <c r="DV1081" s="8"/>
      <c r="DW1081" s="8"/>
      <c r="DX1081" s="8"/>
      <c r="DY1081" s="8"/>
      <c r="DZ1081" s="8"/>
      <c r="EA1081" s="8"/>
      <c r="EB1081" s="8"/>
      <c r="EC1081" s="8"/>
      <c r="ED1081" s="8"/>
      <c r="EE1081" s="8"/>
      <c r="EF1081" s="8"/>
      <c r="EG1081" s="8"/>
      <c r="EH1081" s="8"/>
      <c r="EI1081" s="8"/>
      <c r="EJ1081" s="8"/>
      <c r="EK1081" s="8"/>
      <c r="EL1081" s="8"/>
      <c r="EM1081" s="8"/>
      <c r="EN1081" s="8"/>
      <c r="EO1081" s="8"/>
      <c r="EP1081" s="8"/>
      <c r="EQ1081" s="8"/>
      <c r="ER1081" s="8"/>
      <c r="ES1081" s="8"/>
      <c r="ET1081" s="8"/>
      <c r="EU1081" s="8"/>
      <c r="EV1081" s="8"/>
      <c r="EW1081" s="8"/>
      <c r="EX1081" s="8"/>
      <c r="EY1081" s="8"/>
      <c r="EZ1081" s="8"/>
      <c r="FA1081" s="8"/>
      <c r="FB1081" s="8"/>
      <c r="FC1081" s="8"/>
      <c r="FD1081" s="8"/>
      <c r="FE1081" s="8"/>
      <c r="FF1081" s="8"/>
      <c r="FG1081" s="8"/>
      <c r="FH1081" s="8"/>
      <c r="FI1081" s="8"/>
      <c r="FJ1081" s="8"/>
      <c r="FK1081" s="8"/>
      <c r="FL1081" s="8"/>
      <c r="FM1081" s="8"/>
      <c r="FN1081" s="8"/>
      <c r="FO1081" s="8"/>
      <c r="FP1081" s="8"/>
      <c r="FQ1081" s="8"/>
      <c r="FR1081" s="8"/>
      <c r="FS1081" s="8"/>
      <c r="FT1081" s="8"/>
      <c r="FU1081" s="8"/>
      <c r="FV1081" s="8"/>
      <c r="FW1081" s="8"/>
      <c r="FX1081" s="8"/>
      <c r="FY1081" s="8"/>
      <c r="FZ1081" s="8"/>
      <c r="GA1081" s="8"/>
      <c r="GB1081" s="8"/>
      <c r="GC1081" s="8"/>
      <c r="GD1081" s="8"/>
      <c r="GE1081" s="8"/>
      <c r="GF1081" s="8"/>
      <c r="GG1081" s="8"/>
      <c r="GH1081" s="8"/>
      <c r="GI1081" s="8"/>
      <c r="GJ1081" s="8"/>
      <c r="GK1081" s="8"/>
      <c r="GL1081" s="8"/>
      <c r="GM1081" s="8"/>
      <c r="GN1081" s="8"/>
      <c r="GO1081" s="8"/>
      <c r="GP1081" s="8"/>
      <c r="GQ1081" s="8"/>
      <c r="GR1081" s="8"/>
      <c r="GS1081" s="8"/>
      <c r="GT1081" s="8"/>
      <c r="GU1081" s="8"/>
      <c r="GV1081" s="8"/>
      <c r="GW1081" s="8"/>
      <c r="GX1081" s="8"/>
      <c r="GY1081" s="8"/>
      <c r="GZ1081" s="8"/>
      <c r="HA1081" s="8"/>
      <c r="HB1081" s="8"/>
      <c r="HC1081" s="8"/>
      <c r="HD1081" s="8"/>
      <c r="HE1081" s="8"/>
      <c r="HF1081" s="8"/>
      <c r="HG1081" s="8"/>
      <c r="HH1081" s="8"/>
      <c r="HI1081" s="8"/>
      <c r="HJ1081" s="8"/>
      <c r="HK1081" s="8"/>
      <c r="HL1081" s="8"/>
      <c r="HM1081" s="8"/>
      <c r="HN1081" s="8"/>
      <c r="HO1081" s="8"/>
      <c r="HP1081" s="8"/>
      <c r="HQ1081" s="8"/>
      <c r="HR1081" s="8"/>
      <c r="HS1081" s="8"/>
      <c r="HT1081" s="8"/>
      <c r="HU1081" s="8"/>
      <c r="HV1081" s="8"/>
      <c r="HW1081" s="8"/>
      <c r="HX1081" s="8"/>
      <c r="HY1081" s="8"/>
      <c r="HZ1081" s="8"/>
      <c r="IA1081" s="8"/>
      <c r="IB1081" s="8"/>
      <c r="IC1081" s="8"/>
      <c r="ID1081" s="8"/>
      <c r="IE1081" s="8"/>
      <c r="IF1081" s="8"/>
    </row>
    <row r="1082" spans="1:240" ht="30" customHeight="1">
      <c r="A1082" s="5">
        <v>1080</v>
      </c>
      <c r="B1082" s="5"/>
      <c r="C1082" s="5"/>
      <c r="D1082" s="5" t="s">
        <v>68</v>
      </c>
      <c r="E1082" s="5" t="e">
        <f>78*#REF!</f>
        <v>#REF!</v>
      </c>
      <c r="F1082" s="5" t="s">
        <v>48</v>
      </c>
      <c r="G1082" s="5" t="e">
        <f>78*#REF!</f>
        <v>#REF!</v>
      </c>
      <c r="H1082" s="15">
        <f>1654*0.454</f>
        <v>750.91600000000005</v>
      </c>
      <c r="I1082" s="5" t="s">
        <v>13</v>
      </c>
      <c r="J1082" s="15">
        <f>180/4.4</f>
        <v>40.909090909090907</v>
      </c>
      <c r="K1082" s="15">
        <f t="shared" si="29"/>
        <v>5.5560000000000009</v>
      </c>
      <c r="L1082" s="5">
        <v>211</v>
      </c>
      <c r="M1082" s="15">
        <f t="shared" si="30"/>
        <v>5.5549999999999997</v>
      </c>
      <c r="N1082" s="5"/>
      <c r="O1082" s="15">
        <f>14830*1.6978</f>
        <v>25178.374</v>
      </c>
      <c r="P1082" s="5"/>
      <c r="Q1082" s="5"/>
      <c r="R1082" s="5">
        <v>1</v>
      </c>
      <c r="S1082" s="5" t="e">
        <f>38*#REF!</f>
        <v>#REF!</v>
      </c>
      <c r="T1082" s="5"/>
      <c r="U1082" s="5">
        <v>1200</v>
      </c>
      <c r="V1082" s="15">
        <f>1.5*0.7457</f>
        <v>1.1185499999999999</v>
      </c>
      <c r="W1082" s="5" t="s">
        <v>98</v>
      </c>
      <c r="X1082" s="5" t="s">
        <v>65</v>
      </c>
      <c r="Y1082" s="5" t="s">
        <v>48</v>
      </c>
      <c r="Z1082" s="5" t="s">
        <v>48</v>
      </c>
      <c r="AA1082" s="5"/>
      <c r="AB1082" s="5"/>
      <c r="AC1082" s="5"/>
      <c r="AD1082" s="5"/>
      <c r="AE1082" s="5"/>
      <c r="AF1082" s="5"/>
      <c r="AG1082" s="5"/>
      <c r="AH1082" s="16">
        <f>7560*0.7705</f>
        <v>5824.98</v>
      </c>
      <c r="AI1082" s="5"/>
      <c r="AJ1082" s="5"/>
      <c r="AK1082" s="5"/>
      <c r="AL1082" s="5"/>
      <c r="AM1082" s="16">
        <f t="shared" si="31"/>
        <v>5824.98</v>
      </c>
      <c r="AN1082" s="5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8"/>
      <c r="BS1082" s="8"/>
      <c r="BT1082" s="8"/>
      <c r="BU1082" s="8"/>
      <c r="BV1082" s="8"/>
      <c r="BW1082" s="8"/>
      <c r="BX1082" s="8"/>
      <c r="BY1082" s="8"/>
      <c r="BZ1082" s="8"/>
      <c r="CA1082" s="8"/>
      <c r="CB1082" s="8"/>
      <c r="CC1082" s="8"/>
      <c r="CD1082" s="8"/>
      <c r="CE1082" s="8"/>
      <c r="CF1082" s="8"/>
      <c r="CG1082" s="8"/>
      <c r="CH1082" s="8"/>
      <c r="CI1082" s="8"/>
      <c r="CJ1082" s="8"/>
      <c r="CK1082" s="8"/>
      <c r="CL1082" s="8"/>
      <c r="CM1082" s="8"/>
      <c r="CN1082" s="8"/>
      <c r="CO1082" s="8"/>
      <c r="CP1082" s="8"/>
      <c r="CQ1082" s="8"/>
      <c r="CR1082" s="8"/>
      <c r="CS1082" s="8"/>
      <c r="CT1082" s="8"/>
      <c r="CU1082" s="8"/>
      <c r="CV1082" s="8"/>
      <c r="CW1082" s="8"/>
      <c r="CX1082" s="8"/>
      <c r="CY1082" s="8"/>
      <c r="CZ1082" s="8"/>
      <c r="DA1082" s="8"/>
      <c r="DB1082" s="8"/>
      <c r="DC1082" s="8"/>
      <c r="DD1082" s="8"/>
      <c r="DE1082" s="8"/>
      <c r="DF1082" s="8"/>
      <c r="DG1082" s="8"/>
      <c r="DH1082" s="8"/>
      <c r="DI1082" s="8"/>
      <c r="DJ1082" s="8"/>
      <c r="DK1082" s="8"/>
      <c r="DL1082" s="8"/>
      <c r="DM1082" s="8"/>
      <c r="DN1082" s="8"/>
      <c r="DO1082" s="8"/>
      <c r="DP1082" s="8"/>
      <c r="DQ1082" s="8"/>
      <c r="DR1082" s="8"/>
      <c r="DS1082" s="8"/>
      <c r="DT1082" s="8"/>
      <c r="DU1082" s="8"/>
      <c r="DV1082" s="8"/>
      <c r="DW1082" s="8"/>
      <c r="DX1082" s="8"/>
      <c r="DY1082" s="8"/>
      <c r="DZ1082" s="8"/>
      <c r="EA1082" s="8"/>
      <c r="EB1082" s="8"/>
      <c r="EC1082" s="8"/>
      <c r="ED1082" s="8"/>
      <c r="EE1082" s="8"/>
      <c r="EF1082" s="8"/>
      <c r="EG1082" s="8"/>
      <c r="EH1082" s="8"/>
      <c r="EI1082" s="8"/>
      <c r="EJ1082" s="8"/>
      <c r="EK1082" s="8"/>
      <c r="EL1082" s="8"/>
      <c r="EM1082" s="8"/>
      <c r="EN1082" s="8"/>
      <c r="EO1082" s="8"/>
      <c r="EP1082" s="8"/>
      <c r="EQ1082" s="8"/>
      <c r="ER1082" s="8"/>
      <c r="ES1082" s="8"/>
      <c r="ET1082" s="8"/>
      <c r="EU1082" s="8"/>
      <c r="EV1082" s="8"/>
      <c r="EW1082" s="8"/>
      <c r="EX1082" s="8"/>
      <c r="EY1082" s="8"/>
      <c r="EZ1082" s="8"/>
      <c r="FA1082" s="8"/>
      <c r="FB1082" s="8"/>
      <c r="FC1082" s="8"/>
      <c r="FD1082" s="8"/>
      <c r="FE1082" s="8"/>
      <c r="FF1082" s="8"/>
      <c r="FG1082" s="8"/>
      <c r="FH1082" s="8"/>
      <c r="FI1082" s="8"/>
      <c r="FJ1082" s="8"/>
      <c r="FK1082" s="8"/>
      <c r="FL1082" s="8"/>
      <c r="FM1082" s="8"/>
      <c r="FN1082" s="8"/>
      <c r="FO1082" s="8"/>
      <c r="FP1082" s="8"/>
      <c r="FQ1082" s="8"/>
      <c r="FR1082" s="8"/>
      <c r="FS1082" s="8"/>
      <c r="FT1082" s="8"/>
      <c r="FU1082" s="8"/>
      <c r="FV1082" s="8"/>
      <c r="FW1082" s="8"/>
      <c r="FX1082" s="8"/>
      <c r="FY1082" s="8"/>
      <c r="FZ1082" s="8"/>
      <c r="GA1082" s="8"/>
      <c r="GB1082" s="8"/>
      <c r="GC1082" s="8"/>
      <c r="GD1082" s="8"/>
      <c r="GE1082" s="8"/>
      <c r="GF1082" s="8"/>
      <c r="GG1082" s="8"/>
      <c r="GH1082" s="8"/>
      <c r="GI1082" s="8"/>
      <c r="GJ1082" s="8"/>
      <c r="GK1082" s="8"/>
      <c r="GL1082" s="8"/>
      <c r="GM1082" s="8"/>
      <c r="GN1082" s="8"/>
      <c r="GO1082" s="8"/>
      <c r="GP1082" s="8"/>
      <c r="GQ1082" s="8"/>
      <c r="GR1082" s="8"/>
      <c r="GS1082" s="8"/>
      <c r="GT1082" s="8"/>
      <c r="GU1082" s="8"/>
      <c r="GV1082" s="8"/>
      <c r="GW1082" s="8"/>
      <c r="GX1082" s="8"/>
      <c r="GY1082" s="8"/>
      <c r="GZ1082" s="8"/>
      <c r="HA1082" s="8"/>
      <c r="HB1082" s="8"/>
      <c r="HC1082" s="8"/>
      <c r="HD1082" s="8"/>
      <c r="HE1082" s="8"/>
      <c r="HF1082" s="8"/>
      <c r="HG1082" s="8"/>
      <c r="HH1082" s="8"/>
      <c r="HI1082" s="8"/>
      <c r="HJ1082" s="8"/>
      <c r="HK1082" s="8"/>
      <c r="HL1082" s="8"/>
      <c r="HM1082" s="8"/>
      <c r="HN1082" s="8"/>
      <c r="HO1082" s="8"/>
      <c r="HP1082" s="8"/>
      <c r="HQ1082" s="8"/>
      <c r="HR1082" s="8"/>
      <c r="HS1082" s="8"/>
      <c r="HT1082" s="8"/>
      <c r="HU1082" s="8"/>
      <c r="HV1082" s="8"/>
      <c r="HW1082" s="8"/>
      <c r="HX1082" s="8"/>
      <c r="HY1082" s="8"/>
      <c r="HZ1082" s="8"/>
      <c r="IA1082" s="8"/>
      <c r="IB1082" s="8"/>
      <c r="IC1082" s="8"/>
      <c r="ID1082" s="8"/>
      <c r="IE1082" s="8"/>
      <c r="IF1082" s="8"/>
    </row>
    <row r="1083" spans="1:240" ht="30" customHeight="1">
      <c r="A1083" s="5">
        <v>1081</v>
      </c>
      <c r="B1083" s="5"/>
      <c r="C1083" s="5"/>
      <c r="D1083" s="5" t="s">
        <v>68</v>
      </c>
      <c r="E1083" s="5" t="e">
        <f>87*#REF!</f>
        <v>#REF!</v>
      </c>
      <c r="F1083" s="5" t="s">
        <v>48</v>
      </c>
      <c r="G1083" s="5" t="e">
        <f>76*#REF!</f>
        <v>#REF!</v>
      </c>
      <c r="H1083" s="15">
        <f>2117*0.454</f>
        <v>961.11800000000005</v>
      </c>
      <c r="I1083" s="5" t="s">
        <v>13</v>
      </c>
      <c r="J1083" s="15">
        <f>210/4.4</f>
        <v>47.727272727272727</v>
      </c>
      <c r="K1083" s="15">
        <f t="shared" si="29"/>
        <v>5.5560000000000009</v>
      </c>
      <c r="L1083" s="5">
        <v>246.2</v>
      </c>
      <c r="M1083" s="15">
        <f t="shared" si="30"/>
        <v>5.5549999999999997</v>
      </c>
      <c r="N1083" s="5"/>
      <c r="O1083" s="15">
        <f>18010*1.6978</f>
        <v>30577.378000000001</v>
      </c>
      <c r="P1083" s="5"/>
      <c r="Q1083" s="5"/>
      <c r="R1083" s="5">
        <v>1</v>
      </c>
      <c r="S1083" s="5" t="e">
        <f>46*#REF!</f>
        <v>#REF!</v>
      </c>
      <c r="T1083" s="5"/>
      <c r="U1083" s="5">
        <v>900</v>
      </c>
      <c r="V1083" s="15">
        <f>1.5*0.7457</f>
        <v>1.1185499999999999</v>
      </c>
      <c r="W1083" s="5" t="s">
        <v>98</v>
      </c>
      <c r="X1083" s="5" t="s">
        <v>62</v>
      </c>
      <c r="Y1083" s="5" t="s">
        <v>48</v>
      </c>
      <c r="Z1083" s="5" t="s">
        <v>48</v>
      </c>
      <c r="AA1083" s="5"/>
      <c r="AB1083" s="5"/>
      <c r="AC1083" s="5"/>
      <c r="AD1083" s="5"/>
      <c r="AE1083" s="5"/>
      <c r="AF1083" s="5"/>
      <c r="AG1083" s="5"/>
      <c r="AH1083" s="16">
        <f>9295*0.7705</f>
        <v>7161.7974999999997</v>
      </c>
      <c r="AI1083" s="5"/>
      <c r="AJ1083" s="5"/>
      <c r="AK1083" s="5"/>
      <c r="AL1083" s="5"/>
      <c r="AM1083" s="16">
        <f t="shared" si="31"/>
        <v>7161.7974999999997</v>
      </c>
      <c r="AN1083" s="5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8"/>
      <c r="BS1083" s="8"/>
      <c r="BT1083" s="8"/>
      <c r="BU1083" s="8"/>
      <c r="BV1083" s="8"/>
      <c r="BW1083" s="8"/>
      <c r="BX1083" s="8"/>
      <c r="BY1083" s="8"/>
      <c r="BZ1083" s="8"/>
      <c r="CA1083" s="8"/>
      <c r="CB1083" s="8"/>
      <c r="CC1083" s="8"/>
      <c r="CD1083" s="8"/>
      <c r="CE1083" s="8"/>
      <c r="CF1083" s="8"/>
      <c r="CG1083" s="8"/>
      <c r="CH1083" s="8"/>
      <c r="CI1083" s="8"/>
      <c r="CJ1083" s="8"/>
      <c r="CK1083" s="8"/>
      <c r="CL1083" s="8"/>
      <c r="CM1083" s="8"/>
      <c r="CN1083" s="8"/>
      <c r="CO1083" s="8"/>
      <c r="CP1083" s="8"/>
      <c r="CQ1083" s="8"/>
      <c r="CR1083" s="8"/>
      <c r="CS1083" s="8"/>
      <c r="CT1083" s="8"/>
      <c r="CU1083" s="8"/>
      <c r="CV1083" s="8"/>
      <c r="CW1083" s="8"/>
      <c r="CX1083" s="8"/>
      <c r="CY1083" s="8"/>
      <c r="CZ1083" s="8"/>
      <c r="DA1083" s="8"/>
      <c r="DB1083" s="8"/>
      <c r="DC1083" s="8"/>
      <c r="DD1083" s="8"/>
      <c r="DE1083" s="8"/>
      <c r="DF1083" s="8"/>
      <c r="DG1083" s="8"/>
      <c r="DH1083" s="8"/>
      <c r="DI1083" s="8"/>
      <c r="DJ1083" s="8"/>
      <c r="DK1083" s="8"/>
      <c r="DL1083" s="8"/>
      <c r="DM1083" s="8"/>
      <c r="DN1083" s="8"/>
      <c r="DO1083" s="8"/>
      <c r="DP1083" s="8"/>
      <c r="DQ1083" s="8"/>
      <c r="DR1083" s="8"/>
      <c r="DS1083" s="8"/>
      <c r="DT1083" s="8"/>
      <c r="DU1083" s="8"/>
      <c r="DV1083" s="8"/>
      <c r="DW1083" s="8"/>
      <c r="DX1083" s="8"/>
      <c r="DY1083" s="8"/>
      <c r="DZ1083" s="8"/>
      <c r="EA1083" s="8"/>
      <c r="EB1083" s="8"/>
      <c r="EC1083" s="8"/>
      <c r="ED1083" s="8"/>
      <c r="EE1083" s="8"/>
      <c r="EF1083" s="8"/>
      <c r="EG1083" s="8"/>
      <c r="EH1083" s="8"/>
      <c r="EI1083" s="8"/>
      <c r="EJ1083" s="8"/>
      <c r="EK1083" s="8"/>
      <c r="EL1083" s="8"/>
      <c r="EM1083" s="8"/>
      <c r="EN1083" s="8"/>
      <c r="EO1083" s="8"/>
      <c r="EP1083" s="8"/>
      <c r="EQ1083" s="8"/>
      <c r="ER1083" s="8"/>
      <c r="ES1083" s="8"/>
      <c r="ET1083" s="8"/>
      <c r="EU1083" s="8"/>
      <c r="EV1083" s="8"/>
      <c r="EW1083" s="8"/>
      <c r="EX1083" s="8"/>
      <c r="EY1083" s="8"/>
      <c r="EZ1083" s="8"/>
      <c r="FA1083" s="8"/>
      <c r="FB1083" s="8"/>
      <c r="FC1083" s="8"/>
      <c r="FD1083" s="8"/>
      <c r="FE1083" s="8"/>
      <c r="FF1083" s="8"/>
      <c r="FG1083" s="8"/>
      <c r="FH1083" s="8"/>
      <c r="FI1083" s="8"/>
      <c r="FJ1083" s="8"/>
      <c r="FK1083" s="8"/>
      <c r="FL1083" s="8"/>
      <c r="FM1083" s="8"/>
      <c r="FN1083" s="8"/>
      <c r="FO1083" s="8"/>
      <c r="FP1083" s="8"/>
      <c r="FQ1083" s="8"/>
      <c r="FR1083" s="8"/>
      <c r="FS1083" s="8"/>
      <c r="FT1083" s="8"/>
      <c r="FU1083" s="8"/>
      <c r="FV1083" s="8"/>
      <c r="FW1083" s="8"/>
      <c r="FX1083" s="8"/>
      <c r="FY1083" s="8"/>
      <c r="FZ1083" s="8"/>
      <c r="GA1083" s="8"/>
      <c r="GB1083" s="8"/>
      <c r="GC1083" s="8"/>
      <c r="GD1083" s="8"/>
      <c r="GE1083" s="8"/>
      <c r="GF1083" s="8"/>
      <c r="GG1083" s="8"/>
      <c r="GH1083" s="8"/>
      <c r="GI1083" s="8"/>
      <c r="GJ1083" s="8"/>
      <c r="GK1083" s="8"/>
      <c r="GL1083" s="8"/>
      <c r="GM1083" s="8"/>
      <c r="GN1083" s="8"/>
      <c r="GO1083" s="8"/>
      <c r="GP1083" s="8"/>
      <c r="GQ1083" s="8"/>
      <c r="GR1083" s="8"/>
      <c r="GS1083" s="8"/>
      <c r="GT1083" s="8"/>
      <c r="GU1083" s="8"/>
      <c r="GV1083" s="8"/>
      <c r="GW1083" s="8"/>
      <c r="GX1083" s="8"/>
      <c r="GY1083" s="8"/>
      <c r="GZ1083" s="8"/>
      <c r="HA1083" s="8"/>
      <c r="HB1083" s="8"/>
      <c r="HC1083" s="8"/>
      <c r="HD1083" s="8"/>
      <c r="HE1083" s="8"/>
      <c r="HF1083" s="8"/>
      <c r="HG1083" s="8"/>
      <c r="HH1083" s="8"/>
      <c r="HI1083" s="8"/>
      <c r="HJ1083" s="8"/>
      <c r="HK1083" s="8"/>
      <c r="HL1083" s="8"/>
      <c r="HM1083" s="8"/>
      <c r="HN1083" s="8"/>
      <c r="HO1083" s="8"/>
      <c r="HP1083" s="8"/>
      <c r="HQ1083" s="8"/>
      <c r="HR1083" s="8"/>
      <c r="HS1083" s="8"/>
      <c r="HT1083" s="8"/>
      <c r="HU1083" s="8"/>
      <c r="HV1083" s="8"/>
      <c r="HW1083" s="8"/>
      <c r="HX1083" s="8"/>
      <c r="HY1083" s="8"/>
      <c r="HZ1083" s="8"/>
      <c r="IA1083" s="8"/>
      <c r="IB1083" s="8"/>
      <c r="IC1083" s="8"/>
      <c r="ID1083" s="8"/>
      <c r="IE1083" s="8"/>
      <c r="IF1083" s="8"/>
    </row>
    <row r="1084" spans="1:240" ht="30" customHeight="1">
      <c r="A1084" s="5">
        <v>1082</v>
      </c>
      <c r="B1084" s="5"/>
      <c r="C1084" s="5"/>
      <c r="D1084" s="5" t="s">
        <v>68</v>
      </c>
      <c r="E1084" s="5" t="e">
        <f>87*#REF!</f>
        <v>#REF!</v>
      </c>
      <c r="F1084" s="5" t="s">
        <v>48</v>
      </c>
      <c r="G1084" s="5" t="e">
        <f>80*#REF!</f>
        <v>#REF!</v>
      </c>
      <c r="H1084" s="15">
        <f>2293*0.454</f>
        <v>1041.0219999999999</v>
      </c>
      <c r="I1084" s="5" t="s">
        <v>13</v>
      </c>
      <c r="J1084" s="15">
        <f>255/4.4</f>
        <v>57.954545454545453</v>
      </c>
      <c r="K1084" s="15">
        <f t="shared" si="29"/>
        <v>5.5560000000000009</v>
      </c>
      <c r="L1084" s="5">
        <v>281.3</v>
      </c>
      <c r="M1084" s="15">
        <f t="shared" si="30"/>
        <v>5.5549999999999997</v>
      </c>
      <c r="N1084" s="5"/>
      <c r="O1084" s="15">
        <f>19420*1.6978</f>
        <v>32971.275999999998</v>
      </c>
      <c r="P1084" s="5"/>
      <c r="Q1084" s="5"/>
      <c r="R1084" s="5">
        <v>1</v>
      </c>
      <c r="S1084" s="5" t="e">
        <f>46*#REF!</f>
        <v>#REF!</v>
      </c>
      <c r="T1084" s="5"/>
      <c r="U1084" s="5">
        <v>900</v>
      </c>
      <c r="V1084" s="15">
        <f>1.5*0.7457</f>
        <v>1.1185499999999999</v>
      </c>
      <c r="W1084" s="5" t="s">
        <v>98</v>
      </c>
      <c r="X1084" s="5" t="s">
        <v>62</v>
      </c>
      <c r="Y1084" s="5" t="s">
        <v>48</v>
      </c>
      <c r="Z1084" s="5" t="s">
        <v>48</v>
      </c>
      <c r="AA1084" s="5"/>
      <c r="AB1084" s="5"/>
      <c r="AC1084" s="5"/>
      <c r="AD1084" s="5"/>
      <c r="AE1084" s="5"/>
      <c r="AF1084" s="5"/>
      <c r="AG1084" s="5"/>
      <c r="AH1084" s="16">
        <f>10050*0.7705</f>
        <v>7743.5249999999996</v>
      </c>
      <c r="AI1084" s="5"/>
      <c r="AJ1084" s="5"/>
      <c r="AK1084" s="5"/>
      <c r="AL1084" s="5"/>
      <c r="AM1084" s="16">
        <f t="shared" si="31"/>
        <v>7743.5249999999996</v>
      </c>
      <c r="AN1084" s="5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8"/>
      <c r="BS1084" s="8"/>
      <c r="BT1084" s="8"/>
      <c r="BU1084" s="8"/>
      <c r="BV1084" s="8"/>
      <c r="BW1084" s="8"/>
      <c r="BX1084" s="8"/>
      <c r="BY1084" s="8"/>
      <c r="BZ1084" s="8"/>
      <c r="CA1084" s="8"/>
      <c r="CB1084" s="8"/>
      <c r="CC1084" s="8"/>
      <c r="CD1084" s="8"/>
      <c r="CE1084" s="8"/>
      <c r="CF1084" s="8"/>
      <c r="CG1084" s="8"/>
      <c r="CH1084" s="8"/>
      <c r="CI1084" s="8"/>
      <c r="CJ1084" s="8"/>
      <c r="CK1084" s="8"/>
      <c r="CL1084" s="8"/>
      <c r="CM1084" s="8"/>
      <c r="CN1084" s="8"/>
      <c r="CO1084" s="8"/>
      <c r="CP1084" s="8"/>
      <c r="CQ1084" s="8"/>
      <c r="CR1084" s="8"/>
      <c r="CS1084" s="8"/>
      <c r="CT1084" s="8"/>
      <c r="CU1084" s="8"/>
      <c r="CV1084" s="8"/>
      <c r="CW1084" s="8"/>
      <c r="CX1084" s="8"/>
      <c r="CY1084" s="8"/>
      <c r="CZ1084" s="8"/>
      <c r="DA1084" s="8"/>
      <c r="DB1084" s="8"/>
      <c r="DC1084" s="8"/>
      <c r="DD1084" s="8"/>
      <c r="DE1084" s="8"/>
      <c r="DF1084" s="8"/>
      <c r="DG1084" s="8"/>
      <c r="DH1084" s="8"/>
      <c r="DI1084" s="8"/>
      <c r="DJ1084" s="8"/>
      <c r="DK1084" s="8"/>
      <c r="DL1084" s="8"/>
      <c r="DM1084" s="8"/>
      <c r="DN1084" s="8"/>
      <c r="DO1084" s="8"/>
      <c r="DP1084" s="8"/>
      <c r="DQ1084" s="8"/>
      <c r="DR1084" s="8"/>
      <c r="DS1084" s="8"/>
      <c r="DT1084" s="8"/>
      <c r="DU1084" s="8"/>
      <c r="DV1084" s="8"/>
      <c r="DW1084" s="8"/>
      <c r="DX1084" s="8"/>
      <c r="DY1084" s="8"/>
      <c r="DZ1084" s="8"/>
      <c r="EA1084" s="8"/>
      <c r="EB1084" s="8"/>
      <c r="EC1084" s="8"/>
      <c r="ED1084" s="8"/>
      <c r="EE1084" s="8"/>
      <c r="EF1084" s="8"/>
      <c r="EG1084" s="8"/>
      <c r="EH1084" s="8"/>
      <c r="EI1084" s="8"/>
      <c r="EJ1084" s="8"/>
      <c r="EK1084" s="8"/>
      <c r="EL1084" s="8"/>
      <c r="EM1084" s="8"/>
      <c r="EN1084" s="8"/>
      <c r="EO1084" s="8"/>
      <c r="EP1084" s="8"/>
      <c r="EQ1084" s="8"/>
      <c r="ER1084" s="8"/>
      <c r="ES1084" s="8"/>
      <c r="ET1084" s="8"/>
      <c r="EU1084" s="8"/>
      <c r="EV1084" s="8"/>
      <c r="EW1084" s="8"/>
      <c r="EX1084" s="8"/>
      <c r="EY1084" s="8"/>
      <c r="EZ1084" s="8"/>
      <c r="FA1084" s="8"/>
      <c r="FB1084" s="8"/>
      <c r="FC1084" s="8"/>
      <c r="FD1084" s="8"/>
      <c r="FE1084" s="8"/>
      <c r="FF1084" s="8"/>
      <c r="FG1084" s="8"/>
      <c r="FH1084" s="8"/>
      <c r="FI1084" s="8"/>
      <c r="FJ1084" s="8"/>
      <c r="FK1084" s="8"/>
      <c r="FL1084" s="8"/>
      <c r="FM1084" s="8"/>
      <c r="FN1084" s="8"/>
      <c r="FO1084" s="8"/>
      <c r="FP1084" s="8"/>
      <c r="FQ1084" s="8"/>
      <c r="FR1084" s="8"/>
      <c r="FS1084" s="8"/>
      <c r="FT1084" s="8"/>
      <c r="FU1084" s="8"/>
      <c r="FV1084" s="8"/>
      <c r="FW1084" s="8"/>
      <c r="FX1084" s="8"/>
      <c r="FY1084" s="8"/>
      <c r="FZ1084" s="8"/>
      <c r="GA1084" s="8"/>
      <c r="GB1084" s="8"/>
      <c r="GC1084" s="8"/>
      <c r="GD1084" s="8"/>
      <c r="GE1084" s="8"/>
      <c r="GF1084" s="8"/>
      <c r="GG1084" s="8"/>
      <c r="GH1084" s="8"/>
      <c r="GI1084" s="8"/>
      <c r="GJ1084" s="8"/>
      <c r="GK1084" s="8"/>
      <c r="GL1084" s="8"/>
      <c r="GM1084" s="8"/>
      <c r="GN1084" s="8"/>
      <c r="GO1084" s="8"/>
      <c r="GP1084" s="8"/>
      <c r="GQ1084" s="8"/>
      <c r="GR1084" s="8"/>
      <c r="GS1084" s="8"/>
      <c r="GT1084" s="8"/>
      <c r="GU1084" s="8"/>
      <c r="GV1084" s="8"/>
      <c r="GW1084" s="8"/>
      <c r="GX1084" s="8"/>
      <c r="GY1084" s="8"/>
      <c r="GZ1084" s="8"/>
      <c r="HA1084" s="8"/>
      <c r="HB1084" s="8"/>
      <c r="HC1084" s="8"/>
      <c r="HD1084" s="8"/>
      <c r="HE1084" s="8"/>
      <c r="HF1084" s="8"/>
      <c r="HG1084" s="8"/>
      <c r="HH1084" s="8"/>
      <c r="HI1084" s="8"/>
      <c r="HJ1084" s="8"/>
      <c r="HK1084" s="8"/>
      <c r="HL1084" s="8"/>
      <c r="HM1084" s="8"/>
      <c r="HN1084" s="8"/>
      <c r="HO1084" s="8"/>
      <c r="HP1084" s="8"/>
      <c r="HQ1084" s="8"/>
      <c r="HR1084" s="8"/>
      <c r="HS1084" s="8"/>
      <c r="HT1084" s="8"/>
      <c r="HU1084" s="8"/>
      <c r="HV1084" s="8"/>
      <c r="HW1084" s="8"/>
      <c r="HX1084" s="8"/>
      <c r="HY1084" s="8"/>
      <c r="HZ1084" s="8"/>
      <c r="IA1084" s="8"/>
      <c r="IB1084" s="8"/>
      <c r="IC1084" s="8"/>
      <c r="ID1084" s="8"/>
      <c r="IE1084" s="8"/>
      <c r="IF1084" s="8"/>
    </row>
    <row r="1085" spans="1:240" ht="30" customHeight="1">
      <c r="A1085" s="5">
        <v>1083</v>
      </c>
      <c r="B1085" s="5"/>
      <c r="C1085" s="5"/>
      <c r="D1085" s="5" t="s">
        <v>68</v>
      </c>
      <c r="E1085" s="5" t="e">
        <f>110*#REF!</f>
        <v>#REF!</v>
      </c>
      <c r="F1085" s="5" t="s">
        <v>48</v>
      </c>
      <c r="G1085" s="5" t="e">
        <f>85*#REF!</f>
        <v>#REF!</v>
      </c>
      <c r="H1085" s="15">
        <f>2778*0.454</f>
        <v>1261.212</v>
      </c>
      <c r="I1085" s="5" t="s">
        <v>13</v>
      </c>
      <c r="J1085" s="15">
        <f>330/4.4</f>
        <v>75</v>
      </c>
      <c r="K1085" s="15">
        <f t="shared" si="29"/>
        <v>5.5560000000000009</v>
      </c>
      <c r="L1085" s="5">
        <v>351.7</v>
      </c>
      <c r="M1085" s="15">
        <f t="shared" si="30"/>
        <v>5.5549999999999997</v>
      </c>
      <c r="N1085" s="5"/>
      <c r="O1085" s="15">
        <f>24720*1.6978</f>
        <v>41969.616000000002</v>
      </c>
      <c r="P1085" s="5"/>
      <c r="Q1085" s="5"/>
      <c r="R1085" s="5">
        <v>1</v>
      </c>
      <c r="S1085" s="5" t="e">
        <f>46*#REF!</f>
        <v>#REF!</v>
      </c>
      <c r="T1085" s="5"/>
      <c r="U1085" s="5">
        <v>900</v>
      </c>
      <c r="V1085" s="15">
        <f>2*0.7457</f>
        <v>1.4914000000000001</v>
      </c>
      <c r="W1085" s="5" t="s">
        <v>98</v>
      </c>
      <c r="X1085" s="5" t="s">
        <v>94</v>
      </c>
      <c r="Y1085" s="5" t="s">
        <v>48</v>
      </c>
      <c r="Z1085" s="5" t="s">
        <v>48</v>
      </c>
      <c r="AA1085" s="5"/>
      <c r="AB1085" s="5"/>
      <c r="AC1085" s="5"/>
      <c r="AD1085" s="5"/>
      <c r="AE1085" s="5"/>
      <c r="AF1085" s="5"/>
      <c r="AG1085" s="5"/>
      <c r="AH1085" s="16">
        <f>12390*0.7705</f>
        <v>9546.494999999999</v>
      </c>
      <c r="AI1085" s="5"/>
      <c r="AJ1085" s="5"/>
      <c r="AK1085" s="5"/>
      <c r="AL1085" s="5"/>
      <c r="AM1085" s="16">
        <f t="shared" si="31"/>
        <v>9546.494999999999</v>
      </c>
      <c r="AN1085" s="5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8"/>
      <c r="BS1085" s="8"/>
      <c r="BT1085" s="8"/>
      <c r="BU1085" s="8"/>
      <c r="BV1085" s="8"/>
      <c r="BW1085" s="8"/>
      <c r="BX1085" s="8"/>
      <c r="BY1085" s="8"/>
      <c r="BZ1085" s="8"/>
      <c r="CA1085" s="8"/>
      <c r="CB1085" s="8"/>
      <c r="CC1085" s="8"/>
      <c r="CD1085" s="8"/>
      <c r="CE1085" s="8"/>
      <c r="CF1085" s="8"/>
      <c r="CG1085" s="8"/>
      <c r="CH1085" s="8"/>
      <c r="CI1085" s="8"/>
      <c r="CJ1085" s="8"/>
      <c r="CK1085" s="8"/>
      <c r="CL1085" s="8"/>
      <c r="CM1085" s="8"/>
      <c r="CN1085" s="8"/>
      <c r="CO1085" s="8"/>
      <c r="CP1085" s="8"/>
      <c r="CQ1085" s="8"/>
      <c r="CR1085" s="8"/>
      <c r="CS1085" s="8"/>
      <c r="CT1085" s="8"/>
      <c r="CU1085" s="8"/>
      <c r="CV1085" s="8"/>
      <c r="CW1085" s="8"/>
      <c r="CX1085" s="8"/>
      <c r="CY1085" s="8"/>
      <c r="CZ1085" s="8"/>
      <c r="DA1085" s="8"/>
      <c r="DB1085" s="8"/>
      <c r="DC1085" s="8"/>
      <c r="DD1085" s="8"/>
      <c r="DE1085" s="8"/>
      <c r="DF1085" s="8"/>
      <c r="DG1085" s="8"/>
      <c r="DH1085" s="8"/>
      <c r="DI1085" s="8"/>
      <c r="DJ1085" s="8"/>
      <c r="DK1085" s="8"/>
      <c r="DL1085" s="8"/>
      <c r="DM1085" s="8"/>
      <c r="DN1085" s="8"/>
      <c r="DO1085" s="8"/>
      <c r="DP1085" s="8"/>
      <c r="DQ1085" s="8"/>
      <c r="DR1085" s="8"/>
      <c r="DS1085" s="8"/>
      <c r="DT1085" s="8"/>
      <c r="DU1085" s="8"/>
      <c r="DV1085" s="8"/>
      <c r="DW1085" s="8"/>
      <c r="DX1085" s="8"/>
      <c r="DY1085" s="8"/>
      <c r="DZ1085" s="8"/>
      <c r="EA1085" s="8"/>
      <c r="EB1085" s="8"/>
      <c r="EC1085" s="8"/>
      <c r="ED1085" s="8"/>
      <c r="EE1085" s="8"/>
      <c r="EF1085" s="8"/>
      <c r="EG1085" s="8"/>
      <c r="EH1085" s="8"/>
      <c r="EI1085" s="8"/>
      <c r="EJ1085" s="8"/>
      <c r="EK1085" s="8"/>
      <c r="EL1085" s="8"/>
      <c r="EM1085" s="8"/>
      <c r="EN1085" s="8"/>
      <c r="EO1085" s="8"/>
      <c r="EP1085" s="8"/>
      <c r="EQ1085" s="8"/>
      <c r="ER1085" s="8"/>
      <c r="ES1085" s="8"/>
      <c r="ET1085" s="8"/>
      <c r="EU1085" s="8"/>
      <c r="EV1085" s="8"/>
      <c r="EW1085" s="8"/>
      <c r="EX1085" s="8"/>
      <c r="EY1085" s="8"/>
      <c r="EZ1085" s="8"/>
      <c r="FA1085" s="8"/>
      <c r="FB1085" s="8"/>
      <c r="FC1085" s="8"/>
      <c r="FD1085" s="8"/>
      <c r="FE1085" s="8"/>
      <c r="FF1085" s="8"/>
      <c r="FG1085" s="8"/>
      <c r="FH1085" s="8"/>
      <c r="FI1085" s="8"/>
      <c r="FJ1085" s="8"/>
      <c r="FK1085" s="8"/>
      <c r="FL1085" s="8"/>
      <c r="FM1085" s="8"/>
      <c r="FN1085" s="8"/>
      <c r="FO1085" s="8"/>
      <c r="FP1085" s="8"/>
      <c r="FQ1085" s="8"/>
      <c r="FR1085" s="8"/>
      <c r="FS1085" s="8"/>
      <c r="FT1085" s="8"/>
      <c r="FU1085" s="8"/>
      <c r="FV1085" s="8"/>
      <c r="FW1085" s="8"/>
      <c r="FX1085" s="8"/>
      <c r="FY1085" s="8"/>
      <c r="FZ1085" s="8"/>
      <c r="GA1085" s="8"/>
      <c r="GB1085" s="8"/>
      <c r="GC1085" s="8"/>
      <c r="GD1085" s="8"/>
      <c r="GE1085" s="8"/>
      <c r="GF1085" s="8"/>
      <c r="GG1085" s="8"/>
      <c r="GH1085" s="8"/>
      <c r="GI1085" s="8"/>
      <c r="GJ1085" s="8"/>
      <c r="GK1085" s="8"/>
      <c r="GL1085" s="8"/>
      <c r="GM1085" s="8"/>
      <c r="GN1085" s="8"/>
      <c r="GO1085" s="8"/>
      <c r="GP1085" s="8"/>
      <c r="GQ1085" s="8"/>
      <c r="GR1085" s="8"/>
      <c r="GS1085" s="8"/>
      <c r="GT1085" s="8"/>
      <c r="GU1085" s="8"/>
      <c r="GV1085" s="8"/>
      <c r="GW1085" s="8"/>
      <c r="GX1085" s="8"/>
      <c r="GY1085" s="8"/>
      <c r="GZ1085" s="8"/>
      <c r="HA1085" s="8"/>
      <c r="HB1085" s="8"/>
      <c r="HC1085" s="8"/>
      <c r="HD1085" s="8"/>
      <c r="HE1085" s="8"/>
      <c r="HF1085" s="8"/>
      <c r="HG1085" s="8"/>
      <c r="HH1085" s="8"/>
      <c r="HI1085" s="8"/>
      <c r="HJ1085" s="8"/>
      <c r="HK1085" s="8"/>
      <c r="HL1085" s="8"/>
      <c r="HM1085" s="8"/>
      <c r="HN1085" s="8"/>
      <c r="HO1085" s="8"/>
      <c r="HP1085" s="8"/>
      <c r="HQ1085" s="8"/>
      <c r="HR1085" s="8"/>
      <c r="HS1085" s="8"/>
      <c r="HT1085" s="8"/>
      <c r="HU1085" s="8"/>
      <c r="HV1085" s="8"/>
      <c r="HW1085" s="8"/>
      <c r="HX1085" s="8"/>
      <c r="HY1085" s="8"/>
      <c r="HZ1085" s="8"/>
      <c r="IA1085" s="8"/>
      <c r="IB1085" s="8"/>
      <c r="IC1085" s="8"/>
      <c r="ID1085" s="8"/>
      <c r="IE1085" s="8"/>
      <c r="IF1085" s="8"/>
    </row>
    <row r="1086" spans="1:240" ht="30" customHeight="1">
      <c r="A1086" s="5">
        <v>1084</v>
      </c>
      <c r="B1086" s="5"/>
      <c r="C1086" s="5"/>
      <c r="D1086" s="5" t="s">
        <v>68</v>
      </c>
      <c r="E1086" s="5" t="e">
        <f>122*#REF!</f>
        <v>#REF!</v>
      </c>
      <c r="F1086" s="5" t="s">
        <v>48</v>
      </c>
      <c r="G1086" s="5" t="e">
        <f>89*#REF!</f>
        <v>#REF!</v>
      </c>
      <c r="H1086" s="15">
        <f>3572*0.454</f>
        <v>1621.6880000000001</v>
      </c>
      <c r="I1086" s="5" t="s">
        <v>13</v>
      </c>
      <c r="J1086" s="15">
        <f>375/4.4</f>
        <v>85.22727272727272</v>
      </c>
      <c r="K1086" s="15">
        <f t="shared" si="29"/>
        <v>5.5560000000000009</v>
      </c>
      <c r="L1086" s="5">
        <v>439.6</v>
      </c>
      <c r="M1086" s="15">
        <f t="shared" si="30"/>
        <v>5.5549999999999997</v>
      </c>
      <c r="N1086" s="5"/>
      <c r="O1086" s="15">
        <f>29310*1.6978</f>
        <v>49762.517999999996</v>
      </c>
      <c r="P1086" s="5"/>
      <c r="Q1086" s="5"/>
      <c r="R1086" s="5">
        <v>1</v>
      </c>
      <c r="S1086" s="5" t="e">
        <f>59*#REF!</f>
        <v>#REF!</v>
      </c>
      <c r="T1086" s="5"/>
      <c r="U1086" s="5">
        <v>900</v>
      </c>
      <c r="V1086" s="15">
        <f>3*0.7457</f>
        <v>2.2370999999999999</v>
      </c>
      <c r="W1086" s="5" t="s">
        <v>98</v>
      </c>
      <c r="X1086" s="5" t="s">
        <v>94</v>
      </c>
      <c r="Y1086" s="5" t="s">
        <v>48</v>
      </c>
      <c r="Z1086" s="5" t="s">
        <v>48</v>
      </c>
      <c r="AA1086" s="5"/>
      <c r="AB1086" s="5"/>
      <c r="AC1086" s="5"/>
      <c r="AD1086" s="5"/>
      <c r="AE1086" s="5"/>
      <c r="AF1086" s="5"/>
      <c r="AG1086" s="5"/>
      <c r="AH1086" s="16">
        <f>15550*0.7705</f>
        <v>11981.275</v>
      </c>
      <c r="AI1086" s="5"/>
      <c r="AJ1086" s="5"/>
      <c r="AK1086" s="5"/>
      <c r="AL1086" s="5"/>
      <c r="AM1086" s="16">
        <f t="shared" si="31"/>
        <v>11981.275</v>
      </c>
      <c r="AN1086" s="5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8"/>
      <c r="BS1086" s="8"/>
      <c r="BT1086" s="8"/>
      <c r="BU1086" s="8"/>
      <c r="BV1086" s="8"/>
      <c r="BW1086" s="8"/>
      <c r="BX1086" s="8"/>
      <c r="BY1086" s="8"/>
      <c r="BZ1086" s="8"/>
      <c r="CA1086" s="8"/>
      <c r="CB1086" s="8"/>
      <c r="CC1086" s="8"/>
      <c r="CD1086" s="8"/>
      <c r="CE1086" s="8"/>
      <c r="CF1086" s="8"/>
      <c r="CG1086" s="8"/>
      <c r="CH1086" s="8"/>
      <c r="CI1086" s="8"/>
      <c r="CJ1086" s="8"/>
      <c r="CK1086" s="8"/>
      <c r="CL1086" s="8"/>
      <c r="CM1086" s="8"/>
      <c r="CN1086" s="8"/>
      <c r="CO1086" s="8"/>
      <c r="CP1086" s="8"/>
      <c r="CQ1086" s="8"/>
      <c r="CR1086" s="8"/>
      <c r="CS1086" s="8"/>
      <c r="CT1086" s="8"/>
      <c r="CU1086" s="8"/>
      <c r="CV1086" s="8"/>
      <c r="CW1086" s="8"/>
      <c r="CX1086" s="8"/>
      <c r="CY1086" s="8"/>
      <c r="CZ1086" s="8"/>
      <c r="DA1086" s="8"/>
      <c r="DB1086" s="8"/>
      <c r="DC1086" s="8"/>
      <c r="DD1086" s="8"/>
      <c r="DE1086" s="8"/>
      <c r="DF1086" s="8"/>
      <c r="DG1086" s="8"/>
      <c r="DH1086" s="8"/>
      <c r="DI1086" s="8"/>
      <c r="DJ1086" s="8"/>
      <c r="DK1086" s="8"/>
      <c r="DL1086" s="8"/>
      <c r="DM1086" s="8"/>
      <c r="DN1086" s="8"/>
      <c r="DO1086" s="8"/>
      <c r="DP1086" s="8"/>
      <c r="DQ1086" s="8"/>
      <c r="DR1086" s="8"/>
      <c r="DS1086" s="8"/>
      <c r="DT1086" s="8"/>
      <c r="DU1086" s="8"/>
      <c r="DV1086" s="8"/>
      <c r="DW1086" s="8"/>
      <c r="DX1086" s="8"/>
      <c r="DY1086" s="8"/>
      <c r="DZ1086" s="8"/>
      <c r="EA1086" s="8"/>
      <c r="EB1086" s="8"/>
      <c r="EC1086" s="8"/>
      <c r="ED1086" s="8"/>
      <c r="EE1086" s="8"/>
      <c r="EF1086" s="8"/>
      <c r="EG1086" s="8"/>
      <c r="EH1086" s="8"/>
      <c r="EI1086" s="8"/>
      <c r="EJ1086" s="8"/>
      <c r="EK1086" s="8"/>
      <c r="EL1086" s="8"/>
      <c r="EM1086" s="8"/>
      <c r="EN1086" s="8"/>
      <c r="EO1086" s="8"/>
      <c r="EP1086" s="8"/>
      <c r="EQ1086" s="8"/>
      <c r="ER1086" s="8"/>
      <c r="ES1086" s="8"/>
      <c r="ET1086" s="8"/>
      <c r="EU1086" s="8"/>
      <c r="EV1086" s="8"/>
      <c r="EW1086" s="8"/>
      <c r="EX1086" s="8"/>
      <c r="EY1086" s="8"/>
      <c r="EZ1086" s="8"/>
      <c r="FA1086" s="8"/>
      <c r="FB1086" s="8"/>
      <c r="FC1086" s="8"/>
      <c r="FD1086" s="8"/>
      <c r="FE1086" s="8"/>
      <c r="FF1086" s="8"/>
      <c r="FG1086" s="8"/>
      <c r="FH1086" s="8"/>
      <c r="FI1086" s="8"/>
      <c r="FJ1086" s="8"/>
      <c r="FK1086" s="8"/>
      <c r="FL1086" s="8"/>
      <c r="FM1086" s="8"/>
      <c r="FN1086" s="8"/>
      <c r="FO1086" s="8"/>
      <c r="FP1086" s="8"/>
      <c r="FQ1086" s="8"/>
      <c r="FR1086" s="8"/>
      <c r="FS1086" s="8"/>
      <c r="FT1086" s="8"/>
      <c r="FU1086" s="8"/>
      <c r="FV1086" s="8"/>
      <c r="FW1086" s="8"/>
      <c r="FX1086" s="8"/>
      <c r="FY1086" s="8"/>
      <c r="FZ1086" s="8"/>
      <c r="GA1086" s="8"/>
      <c r="GB1086" s="8"/>
      <c r="GC1086" s="8"/>
      <c r="GD1086" s="8"/>
      <c r="GE1086" s="8"/>
      <c r="GF1086" s="8"/>
      <c r="GG1086" s="8"/>
      <c r="GH1086" s="8"/>
      <c r="GI1086" s="8"/>
      <c r="GJ1086" s="8"/>
      <c r="GK1086" s="8"/>
      <c r="GL1086" s="8"/>
      <c r="GM1086" s="8"/>
      <c r="GN1086" s="8"/>
      <c r="GO1086" s="8"/>
      <c r="GP1086" s="8"/>
      <c r="GQ1086" s="8"/>
      <c r="GR1086" s="8"/>
      <c r="GS1086" s="8"/>
      <c r="GT1086" s="8"/>
      <c r="GU1086" s="8"/>
      <c r="GV1086" s="8"/>
      <c r="GW1086" s="8"/>
      <c r="GX1086" s="8"/>
      <c r="GY1086" s="8"/>
      <c r="GZ1086" s="8"/>
      <c r="HA1086" s="8"/>
      <c r="HB1086" s="8"/>
      <c r="HC1086" s="8"/>
      <c r="HD1086" s="8"/>
      <c r="HE1086" s="8"/>
      <c r="HF1086" s="8"/>
      <c r="HG1086" s="8"/>
      <c r="HH1086" s="8"/>
      <c r="HI1086" s="8"/>
      <c r="HJ1086" s="8"/>
      <c r="HK1086" s="8"/>
      <c r="HL1086" s="8"/>
      <c r="HM1086" s="8"/>
      <c r="HN1086" s="8"/>
      <c r="HO1086" s="8"/>
      <c r="HP1086" s="8"/>
      <c r="HQ1086" s="8"/>
      <c r="HR1086" s="8"/>
      <c r="HS1086" s="8"/>
      <c r="HT1086" s="8"/>
      <c r="HU1086" s="8"/>
      <c r="HV1086" s="8"/>
      <c r="HW1086" s="8"/>
      <c r="HX1086" s="8"/>
      <c r="HY1086" s="8"/>
      <c r="HZ1086" s="8"/>
      <c r="IA1086" s="8"/>
      <c r="IB1086" s="8"/>
      <c r="IC1086" s="8"/>
      <c r="ID1086" s="8"/>
      <c r="IE1086" s="8"/>
      <c r="IF1086" s="8"/>
    </row>
    <row r="1087" spans="1:240" ht="30" customHeight="1">
      <c r="A1087" s="5">
        <v>1085</v>
      </c>
      <c r="B1087" s="5"/>
      <c r="C1087" s="5"/>
      <c r="D1087" s="5" t="s">
        <v>68</v>
      </c>
      <c r="E1087" s="5" t="e">
        <f>138*#REF!</f>
        <v>#REF!</v>
      </c>
      <c r="F1087" s="5" t="s">
        <v>48</v>
      </c>
      <c r="G1087" s="5" t="e">
        <f>102*#REF!</f>
        <v>#REF!</v>
      </c>
      <c r="H1087" s="15">
        <f>5998*0.454</f>
        <v>2723.0920000000001</v>
      </c>
      <c r="I1087" s="5" t="s">
        <v>13</v>
      </c>
      <c r="J1087" s="15">
        <f>480/4.4</f>
        <v>109.09090909090908</v>
      </c>
      <c r="K1087" s="15">
        <f t="shared" si="29"/>
        <v>5.5560000000000009</v>
      </c>
      <c r="L1087" s="5">
        <v>527.5</v>
      </c>
      <c r="M1087" s="15">
        <f t="shared" si="30"/>
        <v>5.5549999999999997</v>
      </c>
      <c r="N1087" s="5"/>
      <c r="O1087" s="15">
        <f>33550*1.6978</f>
        <v>56961.19</v>
      </c>
      <c r="P1087" s="5"/>
      <c r="Q1087" s="5"/>
      <c r="R1087" s="5">
        <v>1</v>
      </c>
      <c r="S1087" s="5" t="e">
        <f>59*#REF!</f>
        <v>#REF!</v>
      </c>
      <c r="T1087" s="5"/>
      <c r="U1087" s="5">
        <v>720</v>
      </c>
      <c r="V1087" s="15">
        <f>3*0.7457</f>
        <v>2.2370999999999999</v>
      </c>
      <c r="W1087" s="5" t="s">
        <v>98</v>
      </c>
      <c r="X1087" s="5" t="s">
        <v>65</v>
      </c>
      <c r="Y1087" s="5" t="s">
        <v>48</v>
      </c>
      <c r="Z1087" s="5" t="s">
        <v>48</v>
      </c>
      <c r="AA1087" s="5"/>
      <c r="AB1087" s="5"/>
      <c r="AC1087" s="5"/>
      <c r="AD1087" s="5"/>
      <c r="AE1087" s="5"/>
      <c r="AF1087" s="5"/>
      <c r="AG1087" s="5"/>
      <c r="AH1087" s="16">
        <f>19750*0.7705</f>
        <v>15217.375</v>
      </c>
      <c r="AI1087" s="5"/>
      <c r="AJ1087" s="5"/>
      <c r="AK1087" s="5"/>
      <c r="AL1087" s="5"/>
      <c r="AM1087" s="16">
        <f t="shared" si="31"/>
        <v>15217.375</v>
      </c>
      <c r="AN1087" s="5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8"/>
      <c r="BS1087" s="8"/>
      <c r="BT1087" s="8"/>
      <c r="BU1087" s="8"/>
      <c r="BV1087" s="8"/>
      <c r="BW1087" s="8"/>
      <c r="BX1087" s="8"/>
      <c r="BY1087" s="8"/>
      <c r="BZ1087" s="8"/>
      <c r="CA1087" s="8"/>
      <c r="CB1087" s="8"/>
      <c r="CC1087" s="8"/>
      <c r="CD1087" s="8"/>
      <c r="CE1087" s="8"/>
      <c r="CF1087" s="8"/>
      <c r="CG1087" s="8"/>
      <c r="CH1087" s="8"/>
      <c r="CI1087" s="8"/>
      <c r="CJ1087" s="8"/>
      <c r="CK1087" s="8"/>
      <c r="CL1087" s="8"/>
      <c r="CM1087" s="8"/>
      <c r="CN1087" s="8"/>
      <c r="CO1087" s="8"/>
      <c r="CP1087" s="8"/>
      <c r="CQ1087" s="8"/>
      <c r="CR1087" s="8"/>
      <c r="CS1087" s="8"/>
      <c r="CT1087" s="8"/>
      <c r="CU1087" s="8"/>
      <c r="CV1087" s="8"/>
      <c r="CW1087" s="8"/>
      <c r="CX1087" s="8"/>
      <c r="CY1087" s="8"/>
      <c r="CZ1087" s="8"/>
      <c r="DA1087" s="8"/>
      <c r="DB1087" s="8"/>
      <c r="DC1087" s="8"/>
      <c r="DD1087" s="8"/>
      <c r="DE1087" s="8"/>
      <c r="DF1087" s="8"/>
      <c r="DG1087" s="8"/>
      <c r="DH1087" s="8"/>
      <c r="DI1087" s="8"/>
      <c r="DJ1087" s="8"/>
      <c r="DK1087" s="8"/>
      <c r="DL1087" s="8"/>
      <c r="DM1087" s="8"/>
      <c r="DN1087" s="8"/>
      <c r="DO1087" s="8"/>
      <c r="DP1087" s="8"/>
      <c r="DQ1087" s="8"/>
      <c r="DR1087" s="8"/>
      <c r="DS1087" s="8"/>
      <c r="DT1087" s="8"/>
      <c r="DU1087" s="8"/>
      <c r="DV1087" s="8"/>
      <c r="DW1087" s="8"/>
      <c r="DX1087" s="8"/>
      <c r="DY1087" s="8"/>
      <c r="DZ1087" s="8"/>
      <c r="EA1087" s="8"/>
      <c r="EB1087" s="8"/>
      <c r="EC1087" s="8"/>
      <c r="ED1087" s="8"/>
      <c r="EE1087" s="8"/>
      <c r="EF1087" s="8"/>
      <c r="EG1087" s="8"/>
      <c r="EH1087" s="8"/>
      <c r="EI1087" s="8"/>
      <c r="EJ1087" s="8"/>
      <c r="EK1087" s="8"/>
      <c r="EL1087" s="8"/>
      <c r="EM1087" s="8"/>
      <c r="EN1087" s="8"/>
      <c r="EO1087" s="8"/>
      <c r="EP1087" s="8"/>
      <c r="EQ1087" s="8"/>
      <c r="ER1087" s="8"/>
      <c r="ES1087" s="8"/>
      <c r="ET1087" s="8"/>
      <c r="EU1087" s="8"/>
      <c r="EV1087" s="8"/>
      <c r="EW1087" s="8"/>
      <c r="EX1087" s="8"/>
      <c r="EY1087" s="8"/>
      <c r="EZ1087" s="8"/>
      <c r="FA1087" s="8"/>
      <c r="FB1087" s="8"/>
      <c r="FC1087" s="8"/>
      <c r="FD1087" s="8"/>
      <c r="FE1087" s="8"/>
      <c r="FF1087" s="8"/>
      <c r="FG1087" s="8"/>
      <c r="FH1087" s="8"/>
      <c r="FI1087" s="8"/>
      <c r="FJ1087" s="8"/>
      <c r="FK1087" s="8"/>
      <c r="FL1087" s="8"/>
      <c r="FM1087" s="8"/>
      <c r="FN1087" s="8"/>
      <c r="FO1087" s="8"/>
      <c r="FP1087" s="8"/>
      <c r="FQ1087" s="8"/>
      <c r="FR1087" s="8"/>
      <c r="FS1087" s="8"/>
      <c r="FT1087" s="8"/>
      <c r="FU1087" s="8"/>
      <c r="FV1087" s="8"/>
      <c r="FW1087" s="8"/>
      <c r="FX1087" s="8"/>
      <c r="FY1087" s="8"/>
      <c r="FZ1087" s="8"/>
      <c r="GA1087" s="8"/>
      <c r="GB1087" s="8"/>
      <c r="GC1087" s="8"/>
      <c r="GD1087" s="8"/>
      <c r="GE1087" s="8"/>
      <c r="GF1087" s="8"/>
      <c r="GG1087" s="8"/>
      <c r="GH1087" s="8"/>
      <c r="GI1087" s="8"/>
      <c r="GJ1087" s="8"/>
      <c r="GK1087" s="8"/>
      <c r="GL1087" s="8"/>
      <c r="GM1087" s="8"/>
      <c r="GN1087" s="8"/>
      <c r="GO1087" s="8"/>
      <c r="GP1087" s="8"/>
      <c r="GQ1087" s="8"/>
      <c r="GR1087" s="8"/>
      <c r="GS1087" s="8"/>
      <c r="GT1087" s="8"/>
      <c r="GU1087" s="8"/>
      <c r="GV1087" s="8"/>
      <c r="GW1087" s="8"/>
      <c r="GX1087" s="8"/>
      <c r="GY1087" s="8"/>
      <c r="GZ1087" s="8"/>
      <c r="HA1087" s="8"/>
      <c r="HB1087" s="8"/>
      <c r="HC1087" s="8"/>
      <c r="HD1087" s="8"/>
      <c r="HE1087" s="8"/>
      <c r="HF1087" s="8"/>
      <c r="HG1087" s="8"/>
      <c r="HH1087" s="8"/>
      <c r="HI1087" s="8"/>
      <c r="HJ1087" s="8"/>
      <c r="HK1087" s="8"/>
      <c r="HL1087" s="8"/>
      <c r="HM1087" s="8"/>
      <c r="HN1087" s="8"/>
      <c r="HO1087" s="8"/>
      <c r="HP1087" s="8"/>
      <c r="HQ1087" s="8"/>
      <c r="HR1087" s="8"/>
      <c r="HS1087" s="8"/>
      <c r="HT1087" s="8"/>
      <c r="HU1087" s="8"/>
      <c r="HV1087" s="8"/>
      <c r="HW1087" s="8"/>
      <c r="HX1087" s="8"/>
      <c r="HY1087" s="8"/>
      <c r="HZ1087" s="8"/>
      <c r="IA1087" s="8"/>
      <c r="IB1087" s="8"/>
      <c r="IC1087" s="8"/>
      <c r="ID1087" s="8"/>
      <c r="IE1087" s="8"/>
      <c r="IF1087" s="8"/>
    </row>
    <row r="1088" spans="1:240" ht="30" customHeight="1">
      <c r="A1088" s="5">
        <v>1086</v>
      </c>
      <c r="B1088" s="5"/>
      <c r="C1088" s="5"/>
      <c r="D1088" s="5" t="s">
        <v>68</v>
      </c>
      <c r="E1088" s="5" t="e">
        <f>154*#REF!</f>
        <v>#REF!</v>
      </c>
      <c r="F1088" s="5" t="s">
        <v>48</v>
      </c>
      <c r="G1088" s="5" t="e">
        <f>106*#REF!</f>
        <v>#REF!</v>
      </c>
      <c r="H1088" s="15">
        <f>6395*0.454</f>
        <v>2903.33</v>
      </c>
      <c r="I1088" s="5" t="s">
        <v>13</v>
      </c>
      <c r="J1088" s="15">
        <f>540/4.4</f>
        <v>122.72727272727272</v>
      </c>
      <c r="K1088" s="15">
        <f t="shared" si="29"/>
        <v>5.5560000000000009</v>
      </c>
      <c r="L1088" s="5">
        <v>615.4</v>
      </c>
      <c r="M1088" s="15">
        <f t="shared" si="30"/>
        <v>5.5549999999999997</v>
      </c>
      <c r="N1088" s="5"/>
      <c r="O1088" s="15">
        <f>40600*1.6978</f>
        <v>68930.679999999993</v>
      </c>
      <c r="P1088" s="5"/>
      <c r="Q1088" s="5"/>
      <c r="R1088" s="5">
        <v>1</v>
      </c>
      <c r="S1088" s="5" t="e">
        <f>59*#REF!</f>
        <v>#REF!</v>
      </c>
      <c r="T1088" s="5"/>
      <c r="U1088" s="5">
        <v>720</v>
      </c>
      <c r="V1088" s="15">
        <f>3*0.7457</f>
        <v>2.2370999999999999</v>
      </c>
      <c r="W1088" s="5" t="s">
        <v>98</v>
      </c>
      <c r="X1088" s="5" t="s">
        <v>95</v>
      </c>
      <c r="Y1088" s="5" t="s">
        <v>48</v>
      </c>
      <c r="Z1088" s="5" t="s">
        <v>48</v>
      </c>
      <c r="AA1088" s="5"/>
      <c r="AB1088" s="5"/>
      <c r="AC1088" s="5"/>
      <c r="AD1088" s="5"/>
      <c r="AE1088" s="5"/>
      <c r="AF1088" s="5"/>
      <c r="AG1088" s="5"/>
      <c r="AH1088" s="16">
        <f>21400*0.7705</f>
        <v>16488.7</v>
      </c>
      <c r="AI1088" s="5"/>
      <c r="AJ1088" s="5"/>
      <c r="AK1088" s="5"/>
      <c r="AL1088" s="5"/>
      <c r="AM1088" s="16">
        <f t="shared" si="31"/>
        <v>16488.7</v>
      </c>
      <c r="AN1088" s="5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8"/>
      <c r="BS1088" s="8"/>
      <c r="BT1088" s="8"/>
      <c r="BU1088" s="8"/>
      <c r="BV1088" s="8"/>
      <c r="BW1088" s="8"/>
      <c r="BX1088" s="8"/>
      <c r="BY1088" s="8"/>
      <c r="BZ1088" s="8"/>
      <c r="CA1088" s="8"/>
      <c r="CB1088" s="8"/>
      <c r="CC1088" s="8"/>
      <c r="CD1088" s="8"/>
      <c r="CE1088" s="8"/>
      <c r="CF1088" s="8"/>
      <c r="CG1088" s="8"/>
      <c r="CH1088" s="8"/>
      <c r="CI1088" s="8"/>
      <c r="CJ1088" s="8"/>
      <c r="CK1088" s="8"/>
      <c r="CL1088" s="8"/>
      <c r="CM1088" s="8"/>
      <c r="CN1088" s="8"/>
      <c r="CO1088" s="8"/>
      <c r="CP1088" s="8"/>
      <c r="CQ1088" s="8"/>
      <c r="CR1088" s="8"/>
      <c r="CS1088" s="8"/>
      <c r="CT1088" s="8"/>
      <c r="CU1088" s="8"/>
      <c r="CV1088" s="8"/>
      <c r="CW1088" s="8"/>
      <c r="CX1088" s="8"/>
      <c r="CY1088" s="8"/>
      <c r="CZ1088" s="8"/>
      <c r="DA1088" s="8"/>
      <c r="DB1088" s="8"/>
      <c r="DC1088" s="8"/>
      <c r="DD1088" s="8"/>
      <c r="DE1088" s="8"/>
      <c r="DF1088" s="8"/>
      <c r="DG1088" s="8"/>
      <c r="DH1088" s="8"/>
      <c r="DI1088" s="8"/>
      <c r="DJ1088" s="8"/>
      <c r="DK1088" s="8"/>
      <c r="DL1088" s="8"/>
      <c r="DM1088" s="8"/>
      <c r="DN1088" s="8"/>
      <c r="DO1088" s="8"/>
      <c r="DP1088" s="8"/>
      <c r="DQ1088" s="8"/>
      <c r="DR1088" s="8"/>
      <c r="DS1088" s="8"/>
      <c r="DT1088" s="8"/>
      <c r="DU1088" s="8"/>
      <c r="DV1088" s="8"/>
      <c r="DW1088" s="8"/>
      <c r="DX1088" s="8"/>
      <c r="DY1088" s="8"/>
      <c r="DZ1088" s="8"/>
      <c r="EA1088" s="8"/>
      <c r="EB1088" s="8"/>
      <c r="EC1088" s="8"/>
      <c r="ED1088" s="8"/>
      <c r="EE1088" s="8"/>
      <c r="EF1088" s="8"/>
      <c r="EG1088" s="8"/>
      <c r="EH1088" s="8"/>
      <c r="EI1088" s="8"/>
      <c r="EJ1088" s="8"/>
      <c r="EK1088" s="8"/>
      <c r="EL1088" s="8"/>
      <c r="EM1088" s="8"/>
      <c r="EN1088" s="8"/>
      <c r="EO1088" s="8"/>
      <c r="EP1088" s="8"/>
      <c r="EQ1088" s="8"/>
      <c r="ER1088" s="8"/>
      <c r="ES1088" s="8"/>
      <c r="ET1088" s="8"/>
      <c r="EU1088" s="8"/>
      <c r="EV1088" s="8"/>
      <c r="EW1088" s="8"/>
      <c r="EX1088" s="8"/>
      <c r="EY1088" s="8"/>
      <c r="EZ1088" s="8"/>
      <c r="FA1088" s="8"/>
      <c r="FB1088" s="8"/>
      <c r="FC1088" s="8"/>
      <c r="FD1088" s="8"/>
      <c r="FE1088" s="8"/>
      <c r="FF1088" s="8"/>
      <c r="FG1088" s="8"/>
      <c r="FH1088" s="8"/>
      <c r="FI1088" s="8"/>
      <c r="FJ1088" s="8"/>
      <c r="FK1088" s="8"/>
      <c r="FL1088" s="8"/>
      <c r="FM1088" s="8"/>
      <c r="FN1088" s="8"/>
      <c r="FO1088" s="8"/>
      <c r="FP1088" s="8"/>
      <c r="FQ1088" s="8"/>
      <c r="FR1088" s="8"/>
      <c r="FS1088" s="8"/>
      <c r="FT1088" s="8"/>
      <c r="FU1088" s="8"/>
      <c r="FV1088" s="8"/>
      <c r="FW1088" s="8"/>
      <c r="FX1088" s="8"/>
      <c r="FY1088" s="8"/>
      <c r="FZ1088" s="8"/>
      <c r="GA1088" s="8"/>
      <c r="GB1088" s="8"/>
      <c r="GC1088" s="8"/>
      <c r="GD1088" s="8"/>
      <c r="GE1088" s="8"/>
      <c r="GF1088" s="8"/>
      <c r="GG1088" s="8"/>
      <c r="GH1088" s="8"/>
      <c r="GI1088" s="8"/>
      <c r="GJ1088" s="8"/>
      <c r="GK1088" s="8"/>
      <c r="GL1088" s="8"/>
      <c r="GM1088" s="8"/>
      <c r="GN1088" s="8"/>
      <c r="GO1088" s="8"/>
      <c r="GP1088" s="8"/>
      <c r="GQ1088" s="8"/>
      <c r="GR1088" s="8"/>
      <c r="GS1088" s="8"/>
      <c r="GT1088" s="8"/>
      <c r="GU1088" s="8"/>
      <c r="GV1088" s="8"/>
      <c r="GW1088" s="8"/>
      <c r="GX1088" s="8"/>
      <c r="GY1088" s="8"/>
      <c r="GZ1088" s="8"/>
      <c r="HA1088" s="8"/>
      <c r="HB1088" s="8"/>
      <c r="HC1088" s="8"/>
      <c r="HD1088" s="8"/>
      <c r="HE1088" s="8"/>
      <c r="HF1088" s="8"/>
      <c r="HG1088" s="8"/>
      <c r="HH1088" s="8"/>
      <c r="HI1088" s="8"/>
      <c r="HJ1088" s="8"/>
      <c r="HK1088" s="8"/>
      <c r="HL1088" s="8"/>
      <c r="HM1088" s="8"/>
      <c r="HN1088" s="8"/>
      <c r="HO1088" s="8"/>
      <c r="HP1088" s="8"/>
      <c r="HQ1088" s="8"/>
      <c r="HR1088" s="8"/>
      <c r="HS1088" s="8"/>
      <c r="HT1088" s="8"/>
      <c r="HU1088" s="8"/>
      <c r="HV1088" s="8"/>
      <c r="HW1088" s="8"/>
      <c r="HX1088" s="8"/>
      <c r="HY1088" s="8"/>
      <c r="HZ1088" s="8"/>
      <c r="IA1088" s="8"/>
      <c r="IB1088" s="8"/>
      <c r="IC1088" s="8"/>
      <c r="ID1088" s="8"/>
      <c r="IE1088" s="8"/>
      <c r="IF1088" s="8"/>
    </row>
    <row r="1089" spans="1:240" ht="30" customHeight="1">
      <c r="A1089" s="5">
        <v>1087</v>
      </c>
      <c r="B1089" s="5"/>
      <c r="C1089" s="5"/>
      <c r="D1089" s="5" t="s">
        <v>68</v>
      </c>
      <c r="E1089" s="5" t="e">
        <f>154*#REF!</f>
        <v>#REF!</v>
      </c>
      <c r="F1089" s="5" t="s">
        <v>48</v>
      </c>
      <c r="G1089" s="5" t="e">
        <f>114*#REF!</f>
        <v>#REF!</v>
      </c>
      <c r="H1089" s="15">
        <f>7343*0.454</f>
        <v>3333.7220000000002</v>
      </c>
      <c r="I1089" s="5" t="s">
        <v>13</v>
      </c>
      <c r="J1089" s="15">
        <f>640/4.4</f>
        <v>145.45454545454544</v>
      </c>
      <c r="K1089" s="15">
        <f t="shared" si="29"/>
        <v>5.5560000000000009</v>
      </c>
      <c r="L1089" s="5">
        <v>703.4</v>
      </c>
      <c r="M1089" s="15">
        <f t="shared" si="30"/>
        <v>5.5549999999999997</v>
      </c>
      <c r="N1089" s="5"/>
      <c r="O1089" s="15">
        <f>44140*1.6978</f>
        <v>74940.891999999993</v>
      </c>
      <c r="P1089" s="5"/>
      <c r="Q1089" s="5"/>
      <c r="R1089" s="5">
        <v>1</v>
      </c>
      <c r="S1089" s="5" t="e">
        <f>67*#REF!</f>
        <v>#REF!</v>
      </c>
      <c r="T1089" s="5"/>
      <c r="U1089" s="5">
        <v>1750</v>
      </c>
      <c r="V1089" s="15">
        <f>7.5*0.7457</f>
        <v>5.5927500000000006</v>
      </c>
      <c r="W1089" s="5" t="s">
        <v>98</v>
      </c>
      <c r="X1089" s="5" t="s">
        <v>62</v>
      </c>
      <c r="Y1089" s="5" t="s">
        <v>48</v>
      </c>
      <c r="Z1089" s="5" t="s">
        <v>48</v>
      </c>
      <c r="AA1089" s="5"/>
      <c r="AB1089" s="5"/>
      <c r="AC1089" s="5"/>
      <c r="AD1089" s="5"/>
      <c r="AE1089" s="5"/>
      <c r="AF1089" s="5"/>
      <c r="AG1089" s="5"/>
      <c r="AH1089" s="16">
        <f>25680*0.7705</f>
        <v>19786.439999999999</v>
      </c>
      <c r="AI1089" s="5"/>
      <c r="AJ1089" s="5"/>
      <c r="AK1089" s="5"/>
      <c r="AL1089" s="5"/>
      <c r="AM1089" s="16">
        <f t="shared" si="31"/>
        <v>19786.439999999999</v>
      </c>
      <c r="AN1089" s="5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8"/>
      <c r="BS1089" s="8"/>
      <c r="BT1089" s="8"/>
      <c r="BU1089" s="8"/>
      <c r="BV1089" s="8"/>
      <c r="BW1089" s="8"/>
      <c r="BX1089" s="8"/>
      <c r="BY1089" s="8"/>
      <c r="BZ1089" s="8"/>
      <c r="CA1089" s="8"/>
      <c r="CB1089" s="8"/>
      <c r="CC1089" s="8"/>
      <c r="CD1089" s="8"/>
      <c r="CE1089" s="8"/>
      <c r="CF1089" s="8"/>
      <c r="CG1089" s="8"/>
      <c r="CH1089" s="8"/>
      <c r="CI1089" s="8"/>
      <c r="CJ1089" s="8"/>
      <c r="CK1089" s="8"/>
      <c r="CL1089" s="8"/>
      <c r="CM1089" s="8"/>
      <c r="CN1089" s="8"/>
      <c r="CO1089" s="8"/>
      <c r="CP1089" s="8"/>
      <c r="CQ1089" s="8"/>
      <c r="CR1089" s="8"/>
      <c r="CS1089" s="8"/>
      <c r="CT1089" s="8"/>
      <c r="CU1089" s="8"/>
      <c r="CV1089" s="8"/>
      <c r="CW1089" s="8"/>
      <c r="CX1089" s="8"/>
      <c r="CY1089" s="8"/>
      <c r="CZ1089" s="8"/>
      <c r="DA1089" s="8"/>
      <c r="DB1089" s="8"/>
      <c r="DC1089" s="8"/>
      <c r="DD1089" s="8"/>
      <c r="DE1089" s="8"/>
      <c r="DF1089" s="8"/>
      <c r="DG1089" s="8"/>
      <c r="DH1089" s="8"/>
      <c r="DI1089" s="8"/>
      <c r="DJ1089" s="8"/>
      <c r="DK1089" s="8"/>
      <c r="DL1089" s="8"/>
      <c r="DM1089" s="8"/>
      <c r="DN1089" s="8"/>
      <c r="DO1089" s="8"/>
      <c r="DP1089" s="8"/>
      <c r="DQ1089" s="8"/>
      <c r="DR1089" s="8"/>
      <c r="DS1089" s="8"/>
      <c r="DT1089" s="8"/>
      <c r="DU1089" s="8"/>
      <c r="DV1089" s="8"/>
      <c r="DW1089" s="8"/>
      <c r="DX1089" s="8"/>
      <c r="DY1089" s="8"/>
      <c r="DZ1089" s="8"/>
      <c r="EA1089" s="8"/>
      <c r="EB1089" s="8"/>
      <c r="EC1089" s="8"/>
      <c r="ED1089" s="8"/>
      <c r="EE1089" s="8"/>
      <c r="EF1089" s="8"/>
      <c r="EG1089" s="8"/>
      <c r="EH1089" s="8"/>
      <c r="EI1089" s="8"/>
      <c r="EJ1089" s="8"/>
      <c r="EK1089" s="8"/>
      <c r="EL1089" s="8"/>
      <c r="EM1089" s="8"/>
      <c r="EN1089" s="8"/>
      <c r="EO1089" s="8"/>
      <c r="EP1089" s="8"/>
      <c r="EQ1089" s="8"/>
      <c r="ER1089" s="8"/>
      <c r="ES1089" s="8"/>
      <c r="ET1089" s="8"/>
      <c r="EU1089" s="8"/>
      <c r="EV1089" s="8"/>
      <c r="EW1089" s="8"/>
      <c r="EX1089" s="8"/>
      <c r="EY1089" s="8"/>
      <c r="EZ1089" s="8"/>
      <c r="FA1089" s="8"/>
      <c r="FB1089" s="8"/>
      <c r="FC1089" s="8"/>
      <c r="FD1089" s="8"/>
      <c r="FE1089" s="8"/>
      <c r="FF1089" s="8"/>
      <c r="FG1089" s="8"/>
      <c r="FH1089" s="8"/>
      <c r="FI1089" s="8"/>
      <c r="FJ1089" s="8"/>
      <c r="FK1089" s="8"/>
      <c r="FL1089" s="8"/>
      <c r="FM1089" s="8"/>
      <c r="FN1089" s="8"/>
      <c r="FO1089" s="8"/>
      <c r="FP1089" s="8"/>
      <c r="FQ1089" s="8"/>
      <c r="FR1089" s="8"/>
      <c r="FS1089" s="8"/>
      <c r="FT1089" s="8"/>
      <c r="FU1089" s="8"/>
      <c r="FV1089" s="8"/>
      <c r="FW1089" s="8"/>
      <c r="FX1089" s="8"/>
      <c r="FY1089" s="8"/>
      <c r="FZ1089" s="8"/>
      <c r="GA1089" s="8"/>
      <c r="GB1089" s="8"/>
      <c r="GC1089" s="8"/>
      <c r="GD1089" s="8"/>
      <c r="GE1089" s="8"/>
      <c r="GF1089" s="8"/>
      <c r="GG1089" s="8"/>
      <c r="GH1089" s="8"/>
      <c r="GI1089" s="8"/>
      <c r="GJ1089" s="8"/>
      <c r="GK1089" s="8"/>
      <c r="GL1089" s="8"/>
      <c r="GM1089" s="8"/>
      <c r="GN1089" s="8"/>
      <c r="GO1089" s="8"/>
      <c r="GP1089" s="8"/>
      <c r="GQ1089" s="8"/>
      <c r="GR1089" s="8"/>
      <c r="GS1089" s="8"/>
      <c r="GT1089" s="8"/>
      <c r="GU1089" s="8"/>
      <c r="GV1089" s="8"/>
      <c r="GW1089" s="8"/>
      <c r="GX1089" s="8"/>
      <c r="GY1089" s="8"/>
      <c r="GZ1089" s="8"/>
      <c r="HA1089" s="8"/>
      <c r="HB1089" s="8"/>
      <c r="HC1089" s="8"/>
      <c r="HD1089" s="8"/>
      <c r="HE1089" s="8"/>
      <c r="HF1089" s="8"/>
      <c r="HG1089" s="8"/>
      <c r="HH1089" s="8"/>
      <c r="HI1089" s="8"/>
      <c r="HJ1089" s="8"/>
      <c r="HK1089" s="8"/>
      <c r="HL1089" s="8"/>
      <c r="HM1089" s="8"/>
      <c r="HN1089" s="8"/>
      <c r="HO1089" s="8"/>
      <c r="HP1089" s="8"/>
      <c r="HQ1089" s="8"/>
      <c r="HR1089" s="8"/>
      <c r="HS1089" s="8"/>
      <c r="HT1089" s="8"/>
      <c r="HU1089" s="8"/>
      <c r="HV1089" s="8"/>
      <c r="HW1089" s="8"/>
      <c r="HX1089" s="8"/>
      <c r="HY1089" s="8"/>
      <c r="HZ1089" s="8"/>
      <c r="IA1089" s="8"/>
      <c r="IB1089" s="8"/>
      <c r="IC1089" s="8"/>
      <c r="ID1089" s="8"/>
      <c r="IE1089" s="8"/>
      <c r="IF1089" s="8"/>
    </row>
    <row r="1090" spans="1:240" ht="30" customHeight="1">
      <c r="A1090" s="5">
        <v>1088</v>
      </c>
      <c r="B1090" s="5"/>
      <c r="C1090" s="5"/>
      <c r="D1090" s="5" t="s">
        <v>68</v>
      </c>
      <c r="E1090" s="5" t="e">
        <f>154*#REF!</f>
        <v>#REF!</v>
      </c>
      <c r="F1090" s="5" t="s">
        <v>48</v>
      </c>
      <c r="G1090" s="5" t="e">
        <f>114*#REF!</f>
        <v>#REF!</v>
      </c>
      <c r="H1090" s="15">
        <f>7497*0.454</f>
        <v>3403.6379999999999</v>
      </c>
      <c r="I1090" s="5" t="s">
        <v>13</v>
      </c>
      <c r="J1090" s="15">
        <f>690/4.4</f>
        <v>156.81818181818181</v>
      </c>
      <c r="K1090" s="15">
        <f t="shared" si="29"/>
        <v>5.5560000000000009</v>
      </c>
      <c r="L1090" s="5">
        <v>791.3</v>
      </c>
      <c r="M1090" s="15">
        <f t="shared" si="30"/>
        <v>5.5549999999999997</v>
      </c>
      <c r="N1090" s="5"/>
      <c r="O1090" s="15">
        <f>61790*1.6978</f>
        <v>104907.06200000001</v>
      </c>
      <c r="P1090" s="5"/>
      <c r="Q1090" s="5"/>
      <c r="R1090" s="5">
        <v>1</v>
      </c>
      <c r="S1090" s="5" t="e">
        <f>67*#REF!</f>
        <v>#REF!</v>
      </c>
      <c r="T1090" s="5"/>
      <c r="U1090" s="5">
        <v>1750</v>
      </c>
      <c r="V1090" s="15">
        <f>7.5*0.7457</f>
        <v>5.5927500000000006</v>
      </c>
      <c r="W1090" s="5" t="s">
        <v>98</v>
      </c>
      <c r="X1090" s="5" t="s">
        <v>62</v>
      </c>
      <c r="Y1090" s="5" t="s">
        <v>48</v>
      </c>
      <c r="Z1090" s="5" t="s">
        <v>48</v>
      </c>
      <c r="AA1090" s="5"/>
      <c r="AB1090" s="5"/>
      <c r="AC1090" s="5"/>
      <c r="AD1090" s="5"/>
      <c r="AE1090" s="5"/>
      <c r="AF1090" s="5"/>
      <c r="AG1090" s="5"/>
      <c r="AH1090" s="16">
        <f>29000*0.7705</f>
        <v>22344.5</v>
      </c>
      <c r="AI1090" s="5"/>
      <c r="AJ1090" s="5"/>
      <c r="AK1090" s="5"/>
      <c r="AL1090" s="5"/>
      <c r="AM1090" s="16">
        <f t="shared" si="31"/>
        <v>22344.5</v>
      </c>
      <c r="AN1090" s="5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8"/>
      <c r="BS1090" s="8"/>
      <c r="BT1090" s="8"/>
      <c r="BU1090" s="8"/>
      <c r="BV1090" s="8"/>
      <c r="BW1090" s="8"/>
      <c r="BX1090" s="8"/>
      <c r="BY1090" s="8"/>
      <c r="BZ1090" s="8"/>
      <c r="CA1090" s="8"/>
      <c r="CB1090" s="8"/>
      <c r="CC1090" s="8"/>
      <c r="CD1090" s="8"/>
      <c r="CE1090" s="8"/>
      <c r="CF1090" s="8"/>
      <c r="CG1090" s="8"/>
      <c r="CH1090" s="8"/>
      <c r="CI1090" s="8"/>
      <c r="CJ1090" s="8"/>
      <c r="CK1090" s="8"/>
      <c r="CL1090" s="8"/>
      <c r="CM1090" s="8"/>
      <c r="CN1090" s="8"/>
      <c r="CO1090" s="8"/>
      <c r="CP1090" s="8"/>
      <c r="CQ1090" s="8"/>
      <c r="CR1090" s="8"/>
      <c r="CS1090" s="8"/>
      <c r="CT1090" s="8"/>
      <c r="CU1090" s="8"/>
      <c r="CV1090" s="8"/>
      <c r="CW1090" s="8"/>
      <c r="CX1090" s="8"/>
      <c r="CY1090" s="8"/>
      <c r="CZ1090" s="8"/>
      <c r="DA1090" s="8"/>
      <c r="DB1090" s="8"/>
      <c r="DC1090" s="8"/>
      <c r="DD1090" s="8"/>
      <c r="DE1090" s="8"/>
      <c r="DF1090" s="8"/>
      <c r="DG1090" s="8"/>
      <c r="DH1090" s="8"/>
      <c r="DI1090" s="8"/>
      <c r="DJ1090" s="8"/>
      <c r="DK1090" s="8"/>
      <c r="DL1090" s="8"/>
      <c r="DM1090" s="8"/>
      <c r="DN1090" s="8"/>
      <c r="DO1090" s="8"/>
      <c r="DP1090" s="8"/>
      <c r="DQ1090" s="8"/>
      <c r="DR1090" s="8"/>
      <c r="DS1090" s="8"/>
      <c r="DT1090" s="8"/>
      <c r="DU1090" s="8"/>
      <c r="DV1090" s="8"/>
      <c r="DW1090" s="8"/>
      <c r="DX1090" s="8"/>
      <c r="DY1090" s="8"/>
      <c r="DZ1090" s="8"/>
      <c r="EA1090" s="8"/>
      <c r="EB1090" s="8"/>
      <c r="EC1090" s="8"/>
      <c r="ED1090" s="8"/>
      <c r="EE1090" s="8"/>
      <c r="EF1090" s="8"/>
      <c r="EG1090" s="8"/>
      <c r="EH1090" s="8"/>
      <c r="EI1090" s="8"/>
      <c r="EJ1090" s="8"/>
      <c r="EK1090" s="8"/>
      <c r="EL1090" s="8"/>
      <c r="EM1090" s="8"/>
      <c r="EN1090" s="8"/>
      <c r="EO1090" s="8"/>
      <c r="EP1090" s="8"/>
      <c r="EQ1090" s="8"/>
      <c r="ER1090" s="8"/>
      <c r="ES1090" s="8"/>
      <c r="ET1090" s="8"/>
      <c r="EU1090" s="8"/>
      <c r="EV1090" s="8"/>
      <c r="EW1090" s="8"/>
      <c r="EX1090" s="8"/>
      <c r="EY1090" s="8"/>
      <c r="EZ1090" s="8"/>
      <c r="FA1090" s="8"/>
      <c r="FB1090" s="8"/>
      <c r="FC1090" s="8"/>
      <c r="FD1090" s="8"/>
      <c r="FE1090" s="8"/>
      <c r="FF1090" s="8"/>
      <c r="FG1090" s="8"/>
      <c r="FH1090" s="8"/>
      <c r="FI1090" s="8"/>
      <c r="FJ1090" s="8"/>
      <c r="FK1090" s="8"/>
      <c r="FL1090" s="8"/>
      <c r="FM1090" s="8"/>
      <c r="FN1090" s="8"/>
      <c r="FO1090" s="8"/>
      <c r="FP1090" s="8"/>
      <c r="FQ1090" s="8"/>
      <c r="FR1090" s="8"/>
      <c r="FS1090" s="8"/>
      <c r="FT1090" s="8"/>
      <c r="FU1090" s="8"/>
      <c r="FV1090" s="8"/>
      <c r="FW1090" s="8"/>
      <c r="FX1090" s="8"/>
      <c r="FY1090" s="8"/>
      <c r="FZ1090" s="8"/>
      <c r="GA1090" s="8"/>
      <c r="GB1090" s="8"/>
      <c r="GC1090" s="8"/>
      <c r="GD1090" s="8"/>
      <c r="GE1090" s="8"/>
      <c r="GF1090" s="8"/>
      <c r="GG1090" s="8"/>
      <c r="GH1090" s="8"/>
      <c r="GI1090" s="8"/>
      <c r="GJ1090" s="8"/>
      <c r="GK1090" s="8"/>
      <c r="GL1090" s="8"/>
      <c r="GM1090" s="8"/>
      <c r="GN1090" s="8"/>
      <c r="GO1090" s="8"/>
      <c r="GP1090" s="8"/>
      <c r="GQ1090" s="8"/>
      <c r="GR1090" s="8"/>
      <c r="GS1090" s="8"/>
      <c r="GT1090" s="8"/>
      <c r="GU1090" s="8"/>
      <c r="GV1090" s="8"/>
      <c r="GW1090" s="8"/>
      <c r="GX1090" s="8"/>
      <c r="GY1090" s="8"/>
      <c r="GZ1090" s="8"/>
      <c r="HA1090" s="8"/>
      <c r="HB1090" s="8"/>
      <c r="HC1090" s="8"/>
      <c r="HD1090" s="8"/>
      <c r="HE1090" s="8"/>
      <c r="HF1090" s="8"/>
      <c r="HG1090" s="8"/>
      <c r="HH1090" s="8"/>
      <c r="HI1090" s="8"/>
      <c r="HJ1090" s="8"/>
      <c r="HK1090" s="8"/>
      <c r="HL1090" s="8"/>
      <c r="HM1090" s="8"/>
      <c r="HN1090" s="8"/>
      <c r="HO1090" s="8"/>
      <c r="HP1090" s="8"/>
      <c r="HQ1090" s="8"/>
      <c r="HR1090" s="8"/>
      <c r="HS1090" s="8"/>
      <c r="HT1090" s="8"/>
      <c r="HU1090" s="8"/>
      <c r="HV1090" s="8"/>
      <c r="HW1090" s="8"/>
      <c r="HX1090" s="8"/>
      <c r="HY1090" s="8"/>
      <c r="HZ1090" s="8"/>
      <c r="IA1090" s="8"/>
      <c r="IB1090" s="8"/>
      <c r="IC1090" s="8"/>
      <c r="ID1090" s="8"/>
      <c r="IE1090" s="8"/>
      <c r="IF1090" s="8"/>
    </row>
    <row r="1091" spans="1:240" ht="30" customHeight="1">
      <c r="A1091" s="5">
        <v>1089</v>
      </c>
      <c r="B1091" s="5"/>
      <c r="C1091" s="5"/>
      <c r="D1091" s="5" t="s">
        <v>68</v>
      </c>
      <c r="E1091" s="5" t="e">
        <f>184*#REF!</f>
        <v>#REF!</v>
      </c>
      <c r="F1091" s="5" t="s">
        <v>48</v>
      </c>
      <c r="G1091" s="5" t="e">
        <f>118*#REF!</f>
        <v>#REF!</v>
      </c>
      <c r="H1091" s="15">
        <f>7718*0.454</f>
        <v>3503.9720000000002</v>
      </c>
      <c r="I1091" s="5" t="s">
        <v>13</v>
      </c>
      <c r="J1091" s="15">
        <f>800/4.4</f>
        <v>181.81818181818181</v>
      </c>
      <c r="K1091" s="15">
        <f t="shared" si="29"/>
        <v>5.5560000000000009</v>
      </c>
      <c r="L1091" s="5">
        <v>879.2</v>
      </c>
      <c r="M1091" s="15">
        <f t="shared" si="30"/>
        <v>5.5549999999999997</v>
      </c>
      <c r="N1091" s="5"/>
      <c r="O1091" s="15">
        <f>65320*1.6978</f>
        <v>110900.296</v>
      </c>
      <c r="P1091" s="5"/>
      <c r="Q1091" s="5"/>
      <c r="R1091" s="5">
        <v>1</v>
      </c>
      <c r="S1091" s="5" t="e">
        <f>67*#REF!</f>
        <v>#REF!</v>
      </c>
      <c r="T1091" s="5"/>
      <c r="U1091" s="5">
        <v>1750</v>
      </c>
      <c r="V1091" s="15">
        <f>7.5*0.7457</f>
        <v>5.5927500000000006</v>
      </c>
      <c r="W1091" s="5" t="s">
        <v>98</v>
      </c>
      <c r="X1091" s="5" t="s">
        <v>64</v>
      </c>
      <c r="Y1091" s="5" t="s">
        <v>48</v>
      </c>
      <c r="Z1091" s="5" t="s">
        <v>48</v>
      </c>
      <c r="AA1091" s="5"/>
      <c r="AB1091" s="5"/>
      <c r="AC1091" s="5"/>
      <c r="AD1091" s="5"/>
      <c r="AE1091" s="5"/>
      <c r="AF1091" s="5"/>
      <c r="AG1091" s="5"/>
      <c r="AH1091" s="16">
        <f>30400*0.7705</f>
        <v>23423.199999999997</v>
      </c>
      <c r="AI1091" s="5"/>
      <c r="AJ1091" s="5"/>
      <c r="AK1091" s="5"/>
      <c r="AL1091" s="5"/>
      <c r="AM1091" s="16">
        <f t="shared" si="31"/>
        <v>23423.199999999997</v>
      </c>
      <c r="AN1091" s="5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8"/>
      <c r="BS1091" s="8"/>
      <c r="BT1091" s="8"/>
      <c r="BU1091" s="8"/>
      <c r="BV1091" s="8"/>
      <c r="BW1091" s="8"/>
      <c r="BX1091" s="8"/>
      <c r="BY1091" s="8"/>
      <c r="BZ1091" s="8"/>
      <c r="CA1091" s="8"/>
      <c r="CB1091" s="8"/>
      <c r="CC1091" s="8"/>
      <c r="CD1091" s="8"/>
      <c r="CE1091" s="8"/>
      <c r="CF1091" s="8"/>
      <c r="CG1091" s="8"/>
      <c r="CH1091" s="8"/>
      <c r="CI1091" s="8"/>
      <c r="CJ1091" s="8"/>
      <c r="CK1091" s="8"/>
      <c r="CL1091" s="8"/>
      <c r="CM1091" s="8"/>
      <c r="CN1091" s="8"/>
      <c r="CO1091" s="8"/>
      <c r="CP1091" s="8"/>
      <c r="CQ1091" s="8"/>
      <c r="CR1091" s="8"/>
      <c r="CS1091" s="8"/>
      <c r="CT1091" s="8"/>
      <c r="CU1091" s="8"/>
      <c r="CV1091" s="8"/>
      <c r="CW1091" s="8"/>
      <c r="CX1091" s="8"/>
      <c r="CY1091" s="8"/>
      <c r="CZ1091" s="8"/>
      <c r="DA1091" s="8"/>
      <c r="DB1091" s="8"/>
      <c r="DC1091" s="8"/>
      <c r="DD1091" s="8"/>
      <c r="DE1091" s="8"/>
      <c r="DF1091" s="8"/>
      <c r="DG1091" s="8"/>
      <c r="DH1091" s="8"/>
      <c r="DI1091" s="8"/>
      <c r="DJ1091" s="8"/>
      <c r="DK1091" s="8"/>
      <c r="DL1091" s="8"/>
      <c r="DM1091" s="8"/>
      <c r="DN1091" s="8"/>
      <c r="DO1091" s="8"/>
      <c r="DP1091" s="8"/>
      <c r="DQ1091" s="8"/>
      <c r="DR1091" s="8"/>
      <c r="DS1091" s="8"/>
      <c r="DT1091" s="8"/>
      <c r="DU1091" s="8"/>
      <c r="DV1091" s="8"/>
      <c r="DW1091" s="8"/>
      <c r="DX1091" s="8"/>
      <c r="DY1091" s="8"/>
      <c r="DZ1091" s="8"/>
      <c r="EA1091" s="8"/>
      <c r="EB1091" s="8"/>
      <c r="EC1091" s="8"/>
      <c r="ED1091" s="8"/>
      <c r="EE1091" s="8"/>
      <c r="EF1091" s="8"/>
      <c r="EG1091" s="8"/>
      <c r="EH1091" s="8"/>
      <c r="EI1091" s="8"/>
      <c r="EJ1091" s="8"/>
      <c r="EK1091" s="8"/>
      <c r="EL1091" s="8"/>
      <c r="EM1091" s="8"/>
      <c r="EN1091" s="8"/>
      <c r="EO1091" s="8"/>
      <c r="EP1091" s="8"/>
      <c r="EQ1091" s="8"/>
      <c r="ER1091" s="8"/>
      <c r="ES1091" s="8"/>
      <c r="ET1091" s="8"/>
      <c r="EU1091" s="8"/>
      <c r="EV1091" s="8"/>
      <c r="EW1091" s="8"/>
      <c r="EX1091" s="8"/>
      <c r="EY1091" s="8"/>
      <c r="EZ1091" s="8"/>
      <c r="FA1091" s="8"/>
      <c r="FB1091" s="8"/>
      <c r="FC1091" s="8"/>
      <c r="FD1091" s="8"/>
      <c r="FE1091" s="8"/>
      <c r="FF1091" s="8"/>
      <c r="FG1091" s="8"/>
      <c r="FH1091" s="8"/>
      <c r="FI1091" s="8"/>
      <c r="FJ1091" s="8"/>
      <c r="FK1091" s="8"/>
      <c r="FL1091" s="8"/>
      <c r="FM1091" s="8"/>
      <c r="FN1091" s="8"/>
      <c r="FO1091" s="8"/>
      <c r="FP1091" s="8"/>
      <c r="FQ1091" s="8"/>
      <c r="FR1091" s="8"/>
      <c r="FS1091" s="8"/>
      <c r="FT1091" s="8"/>
      <c r="FU1091" s="8"/>
      <c r="FV1091" s="8"/>
      <c r="FW1091" s="8"/>
      <c r="FX1091" s="8"/>
      <c r="FY1091" s="8"/>
      <c r="FZ1091" s="8"/>
      <c r="GA1091" s="8"/>
      <c r="GB1091" s="8"/>
      <c r="GC1091" s="8"/>
      <c r="GD1091" s="8"/>
      <c r="GE1091" s="8"/>
      <c r="GF1091" s="8"/>
      <c r="GG1091" s="8"/>
      <c r="GH1091" s="8"/>
      <c r="GI1091" s="8"/>
      <c r="GJ1091" s="8"/>
      <c r="GK1091" s="8"/>
      <c r="GL1091" s="8"/>
      <c r="GM1091" s="8"/>
      <c r="GN1091" s="8"/>
      <c r="GO1091" s="8"/>
      <c r="GP1091" s="8"/>
      <c r="GQ1091" s="8"/>
      <c r="GR1091" s="8"/>
      <c r="GS1091" s="8"/>
      <c r="GT1091" s="8"/>
      <c r="GU1091" s="8"/>
      <c r="GV1091" s="8"/>
      <c r="GW1091" s="8"/>
      <c r="GX1091" s="8"/>
      <c r="GY1091" s="8"/>
      <c r="GZ1091" s="8"/>
      <c r="HA1091" s="8"/>
      <c r="HB1091" s="8"/>
      <c r="HC1091" s="8"/>
      <c r="HD1091" s="8"/>
      <c r="HE1091" s="8"/>
      <c r="HF1091" s="8"/>
      <c r="HG1091" s="8"/>
      <c r="HH1091" s="8"/>
      <c r="HI1091" s="8"/>
      <c r="HJ1091" s="8"/>
      <c r="HK1091" s="8"/>
      <c r="HL1091" s="8"/>
      <c r="HM1091" s="8"/>
      <c r="HN1091" s="8"/>
      <c r="HO1091" s="8"/>
      <c r="HP1091" s="8"/>
      <c r="HQ1091" s="8"/>
      <c r="HR1091" s="8"/>
      <c r="HS1091" s="8"/>
      <c r="HT1091" s="8"/>
      <c r="HU1091" s="8"/>
      <c r="HV1091" s="8"/>
      <c r="HW1091" s="8"/>
      <c r="HX1091" s="8"/>
      <c r="HY1091" s="8"/>
      <c r="HZ1091" s="8"/>
      <c r="IA1091" s="8"/>
      <c r="IB1091" s="8"/>
      <c r="IC1091" s="8"/>
      <c r="ID1091" s="8"/>
      <c r="IE1091" s="8"/>
      <c r="IF1091" s="8"/>
    </row>
    <row r="1092" spans="1:240" ht="30" customHeight="1">
      <c r="A1092" s="5">
        <v>1090</v>
      </c>
      <c r="B1092" s="5"/>
      <c r="C1092" s="5"/>
      <c r="D1092" s="5" t="s">
        <v>68</v>
      </c>
      <c r="E1092" s="5" t="e">
        <f>184*#REF!</f>
        <v>#REF!</v>
      </c>
      <c r="F1092" s="5" t="s">
        <v>48</v>
      </c>
      <c r="G1092" s="5" t="e">
        <f>120*#REF!</f>
        <v>#REF!</v>
      </c>
      <c r="H1092" s="15">
        <f>8820*0.454</f>
        <v>4004.28</v>
      </c>
      <c r="I1092" s="5" t="s">
        <v>13</v>
      </c>
      <c r="J1092" s="15">
        <f>975/4.4</f>
        <v>221.59090909090907</v>
      </c>
      <c r="K1092" s="15">
        <f t="shared" si="29"/>
        <v>5.5560000000000009</v>
      </c>
      <c r="L1092" s="5">
        <v>1055.0999999999999</v>
      </c>
      <c r="M1092" s="15">
        <f t="shared" si="30"/>
        <v>5.5549999999999997</v>
      </c>
      <c r="N1092" s="5"/>
      <c r="O1092" s="15">
        <f>77690*1.6978</f>
        <v>131902.08199999999</v>
      </c>
      <c r="P1092" s="5"/>
      <c r="Q1092" s="5"/>
      <c r="R1092" s="5">
        <v>1</v>
      </c>
      <c r="S1092" s="5" t="e">
        <f>83*#REF!</f>
        <v>#REF!</v>
      </c>
      <c r="T1092" s="5"/>
      <c r="U1092" s="5">
        <v>1750</v>
      </c>
      <c r="V1092" s="15">
        <f>10*0.7457</f>
        <v>7.4570000000000007</v>
      </c>
      <c r="W1092" s="5" t="s">
        <v>98</v>
      </c>
      <c r="X1092" s="5" t="s">
        <v>63</v>
      </c>
      <c r="Y1092" s="5" t="s">
        <v>48</v>
      </c>
      <c r="Z1092" s="5" t="s">
        <v>48</v>
      </c>
      <c r="AA1092" s="5"/>
      <c r="AB1092" s="5"/>
      <c r="AC1092" s="5"/>
      <c r="AD1092" s="5"/>
      <c r="AE1092" s="5"/>
      <c r="AF1092" s="5"/>
      <c r="AG1092" s="5"/>
      <c r="AH1092" s="16">
        <f>36500*0.7705</f>
        <v>28123.25</v>
      </c>
      <c r="AI1092" s="5"/>
      <c r="AJ1092" s="5"/>
      <c r="AK1092" s="5"/>
      <c r="AL1092" s="5"/>
      <c r="AM1092" s="16">
        <f t="shared" si="31"/>
        <v>28123.25</v>
      </c>
      <c r="AN1092" s="5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8"/>
      <c r="BS1092" s="8"/>
      <c r="BT1092" s="8"/>
      <c r="BU1092" s="8"/>
      <c r="BV1092" s="8"/>
      <c r="BW1092" s="8"/>
      <c r="BX1092" s="8"/>
      <c r="BY1092" s="8"/>
      <c r="BZ1092" s="8"/>
      <c r="CA1092" s="8"/>
      <c r="CB1092" s="8"/>
      <c r="CC1092" s="8"/>
      <c r="CD1092" s="8"/>
      <c r="CE1092" s="8"/>
      <c r="CF1092" s="8"/>
      <c r="CG1092" s="8"/>
      <c r="CH1092" s="8"/>
      <c r="CI1092" s="8"/>
      <c r="CJ1092" s="8"/>
      <c r="CK1092" s="8"/>
      <c r="CL1092" s="8"/>
      <c r="CM1092" s="8"/>
      <c r="CN1092" s="8"/>
      <c r="CO1092" s="8"/>
      <c r="CP1092" s="8"/>
      <c r="CQ1092" s="8"/>
      <c r="CR1092" s="8"/>
      <c r="CS1092" s="8"/>
      <c r="CT1092" s="8"/>
      <c r="CU1092" s="8"/>
      <c r="CV1092" s="8"/>
      <c r="CW1092" s="8"/>
      <c r="CX1092" s="8"/>
      <c r="CY1092" s="8"/>
      <c r="CZ1092" s="8"/>
      <c r="DA1092" s="8"/>
      <c r="DB1092" s="8"/>
      <c r="DC1092" s="8"/>
      <c r="DD1092" s="8"/>
      <c r="DE1092" s="8"/>
      <c r="DF1092" s="8"/>
      <c r="DG1092" s="8"/>
      <c r="DH1092" s="8"/>
      <c r="DI1092" s="8"/>
      <c r="DJ1092" s="8"/>
      <c r="DK1092" s="8"/>
      <c r="DL1092" s="8"/>
      <c r="DM1092" s="8"/>
      <c r="DN1092" s="8"/>
      <c r="DO1092" s="8"/>
      <c r="DP1092" s="8"/>
      <c r="DQ1092" s="8"/>
      <c r="DR1092" s="8"/>
      <c r="DS1092" s="8"/>
      <c r="DT1092" s="8"/>
      <c r="DU1092" s="8"/>
      <c r="DV1092" s="8"/>
      <c r="DW1092" s="8"/>
      <c r="DX1092" s="8"/>
      <c r="DY1092" s="8"/>
      <c r="DZ1092" s="8"/>
      <c r="EA1092" s="8"/>
      <c r="EB1092" s="8"/>
      <c r="EC1092" s="8"/>
      <c r="ED1092" s="8"/>
      <c r="EE1092" s="8"/>
      <c r="EF1092" s="8"/>
      <c r="EG1092" s="8"/>
      <c r="EH1092" s="8"/>
      <c r="EI1092" s="8"/>
      <c r="EJ1092" s="8"/>
      <c r="EK1092" s="8"/>
      <c r="EL1092" s="8"/>
      <c r="EM1092" s="8"/>
      <c r="EN1092" s="8"/>
      <c r="EO1092" s="8"/>
      <c r="EP1092" s="8"/>
      <c r="EQ1092" s="8"/>
      <c r="ER1092" s="8"/>
      <c r="ES1092" s="8"/>
      <c r="ET1092" s="8"/>
      <c r="EU1092" s="8"/>
      <c r="EV1092" s="8"/>
      <c r="EW1092" s="8"/>
      <c r="EX1092" s="8"/>
      <c r="EY1092" s="8"/>
      <c r="EZ1092" s="8"/>
      <c r="FA1092" s="8"/>
      <c r="FB1092" s="8"/>
      <c r="FC1092" s="8"/>
      <c r="FD1092" s="8"/>
      <c r="FE1092" s="8"/>
      <c r="FF1092" s="8"/>
      <c r="FG1092" s="8"/>
      <c r="FH1092" s="8"/>
      <c r="FI1092" s="8"/>
      <c r="FJ1092" s="8"/>
      <c r="FK1092" s="8"/>
      <c r="FL1092" s="8"/>
      <c r="FM1092" s="8"/>
      <c r="FN1092" s="8"/>
      <c r="FO1092" s="8"/>
      <c r="FP1092" s="8"/>
      <c r="FQ1092" s="8"/>
      <c r="FR1092" s="8"/>
      <c r="FS1092" s="8"/>
      <c r="FT1092" s="8"/>
      <c r="FU1092" s="8"/>
      <c r="FV1092" s="8"/>
      <c r="FW1092" s="8"/>
      <c r="FX1092" s="8"/>
      <c r="FY1092" s="8"/>
      <c r="FZ1092" s="8"/>
      <c r="GA1092" s="8"/>
      <c r="GB1092" s="8"/>
      <c r="GC1092" s="8"/>
      <c r="GD1092" s="8"/>
      <c r="GE1092" s="8"/>
      <c r="GF1092" s="8"/>
      <c r="GG1092" s="8"/>
      <c r="GH1092" s="8"/>
      <c r="GI1092" s="8"/>
      <c r="GJ1092" s="8"/>
      <c r="GK1092" s="8"/>
      <c r="GL1092" s="8"/>
      <c r="GM1092" s="8"/>
      <c r="GN1092" s="8"/>
      <c r="GO1092" s="8"/>
      <c r="GP1092" s="8"/>
      <c r="GQ1092" s="8"/>
      <c r="GR1092" s="8"/>
      <c r="GS1092" s="8"/>
      <c r="GT1092" s="8"/>
      <c r="GU1092" s="8"/>
      <c r="GV1092" s="8"/>
      <c r="GW1092" s="8"/>
      <c r="GX1092" s="8"/>
      <c r="GY1092" s="8"/>
      <c r="GZ1092" s="8"/>
      <c r="HA1092" s="8"/>
      <c r="HB1092" s="8"/>
      <c r="HC1092" s="8"/>
      <c r="HD1092" s="8"/>
      <c r="HE1092" s="8"/>
      <c r="HF1092" s="8"/>
      <c r="HG1092" s="8"/>
      <c r="HH1092" s="8"/>
      <c r="HI1092" s="8"/>
      <c r="HJ1092" s="8"/>
      <c r="HK1092" s="8"/>
      <c r="HL1092" s="8"/>
      <c r="HM1092" s="8"/>
      <c r="HN1092" s="8"/>
      <c r="HO1092" s="8"/>
      <c r="HP1092" s="8"/>
      <c r="HQ1092" s="8"/>
      <c r="HR1092" s="8"/>
      <c r="HS1092" s="8"/>
      <c r="HT1092" s="8"/>
      <c r="HU1092" s="8"/>
      <c r="HV1092" s="8"/>
      <c r="HW1092" s="8"/>
      <c r="HX1092" s="8"/>
      <c r="HY1092" s="8"/>
      <c r="HZ1092" s="8"/>
      <c r="IA1092" s="8"/>
      <c r="IB1092" s="8"/>
      <c r="IC1092" s="8"/>
      <c r="ID1092" s="8"/>
      <c r="IE1092" s="8"/>
      <c r="IF1092" s="8"/>
    </row>
    <row r="1093" spans="1:240" ht="30" customHeight="1">
      <c r="A1093" s="5">
        <v>1091</v>
      </c>
      <c r="B1093" s="5"/>
      <c r="C1093" s="5"/>
      <c r="D1093" s="5" t="s">
        <v>68</v>
      </c>
      <c r="E1093" s="5" t="e">
        <f>211*#REF!</f>
        <v>#REF!</v>
      </c>
      <c r="F1093" s="5" t="s">
        <v>48</v>
      </c>
      <c r="G1093" s="5" t="e">
        <f>124*#REF!</f>
        <v>#REF!</v>
      </c>
      <c r="H1093" s="15">
        <f>9592*0.454</f>
        <v>4354.768</v>
      </c>
      <c r="I1093" s="5" t="s">
        <v>13</v>
      </c>
      <c r="J1093" s="15">
        <f>1125/4.4</f>
        <v>255.68181818181816</v>
      </c>
      <c r="K1093" s="15">
        <f t="shared" si="29"/>
        <v>5.5560000000000009</v>
      </c>
      <c r="L1093" s="5">
        <v>1230.9000000000001</v>
      </c>
      <c r="M1093" s="15">
        <f t="shared" si="30"/>
        <v>5.5549999999999997</v>
      </c>
      <c r="N1093" s="5"/>
      <c r="O1093" s="15">
        <f>81210*1.6978</f>
        <v>137878.33799999999</v>
      </c>
      <c r="P1093" s="5"/>
      <c r="Q1093" s="5"/>
      <c r="R1093" s="5">
        <v>1</v>
      </c>
      <c r="S1093" s="5" t="e">
        <f>83*#REF!</f>
        <v>#REF!</v>
      </c>
      <c r="T1093" s="5"/>
      <c r="U1093" s="5">
        <v>1750</v>
      </c>
      <c r="V1093" s="15">
        <f>10*0.7457</f>
        <v>7.4570000000000007</v>
      </c>
      <c r="W1093" s="5" t="s">
        <v>98</v>
      </c>
      <c r="X1093" s="5" t="s">
        <v>63</v>
      </c>
      <c r="Y1093" s="5" t="s">
        <v>48</v>
      </c>
      <c r="Z1093" s="5" t="s">
        <v>48</v>
      </c>
      <c r="AA1093" s="5"/>
      <c r="AB1093" s="5"/>
      <c r="AC1093" s="5"/>
      <c r="AD1093" s="5"/>
      <c r="AE1093" s="5"/>
      <c r="AF1093" s="5"/>
      <c r="AG1093" s="5"/>
      <c r="AH1093" s="16">
        <f>39500*0.7705</f>
        <v>30434.75</v>
      </c>
      <c r="AI1093" s="5"/>
      <c r="AJ1093" s="5"/>
      <c r="AK1093" s="5"/>
      <c r="AL1093" s="5"/>
      <c r="AM1093" s="16">
        <f t="shared" si="31"/>
        <v>30434.75</v>
      </c>
      <c r="AN1093" s="5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8"/>
      <c r="BS1093" s="8"/>
      <c r="BT1093" s="8"/>
      <c r="BU1093" s="8"/>
      <c r="BV1093" s="8"/>
      <c r="BW1093" s="8"/>
      <c r="BX1093" s="8"/>
      <c r="BY1093" s="8"/>
      <c r="BZ1093" s="8"/>
      <c r="CA1093" s="8"/>
      <c r="CB1093" s="8"/>
      <c r="CC1093" s="8"/>
      <c r="CD1093" s="8"/>
      <c r="CE1093" s="8"/>
      <c r="CF1093" s="8"/>
      <c r="CG1093" s="8"/>
      <c r="CH1093" s="8"/>
      <c r="CI1093" s="8"/>
      <c r="CJ1093" s="8"/>
      <c r="CK1093" s="8"/>
      <c r="CL1093" s="8"/>
      <c r="CM1093" s="8"/>
      <c r="CN1093" s="8"/>
      <c r="CO1093" s="8"/>
      <c r="CP1093" s="8"/>
      <c r="CQ1093" s="8"/>
      <c r="CR1093" s="8"/>
      <c r="CS1093" s="8"/>
      <c r="CT1093" s="8"/>
      <c r="CU1093" s="8"/>
      <c r="CV1093" s="8"/>
      <c r="CW1093" s="8"/>
      <c r="CX1093" s="8"/>
      <c r="CY1093" s="8"/>
      <c r="CZ1093" s="8"/>
      <c r="DA1093" s="8"/>
      <c r="DB1093" s="8"/>
      <c r="DC1093" s="8"/>
      <c r="DD1093" s="8"/>
      <c r="DE1093" s="8"/>
      <c r="DF1093" s="8"/>
      <c r="DG1093" s="8"/>
      <c r="DH1093" s="8"/>
      <c r="DI1093" s="8"/>
      <c r="DJ1093" s="8"/>
      <c r="DK1093" s="8"/>
      <c r="DL1093" s="8"/>
      <c r="DM1093" s="8"/>
      <c r="DN1093" s="8"/>
      <c r="DO1093" s="8"/>
      <c r="DP1093" s="8"/>
      <c r="DQ1093" s="8"/>
      <c r="DR1093" s="8"/>
      <c r="DS1093" s="8"/>
      <c r="DT1093" s="8"/>
      <c r="DU1093" s="8"/>
      <c r="DV1093" s="8"/>
      <c r="DW1093" s="8"/>
      <c r="DX1093" s="8"/>
      <c r="DY1093" s="8"/>
      <c r="DZ1093" s="8"/>
      <c r="EA1093" s="8"/>
      <c r="EB1093" s="8"/>
      <c r="EC1093" s="8"/>
      <c r="ED1093" s="8"/>
      <c r="EE1093" s="8"/>
      <c r="EF1093" s="8"/>
      <c r="EG1093" s="8"/>
      <c r="EH1093" s="8"/>
      <c r="EI1093" s="8"/>
      <c r="EJ1093" s="8"/>
      <c r="EK1093" s="8"/>
      <c r="EL1093" s="8"/>
      <c r="EM1093" s="8"/>
      <c r="EN1093" s="8"/>
      <c r="EO1093" s="8"/>
      <c r="EP1093" s="8"/>
      <c r="EQ1093" s="8"/>
      <c r="ER1093" s="8"/>
      <c r="ES1093" s="8"/>
      <c r="ET1093" s="8"/>
      <c r="EU1093" s="8"/>
      <c r="EV1093" s="8"/>
      <c r="EW1093" s="8"/>
      <c r="EX1093" s="8"/>
      <c r="EY1093" s="8"/>
      <c r="EZ1093" s="8"/>
      <c r="FA1093" s="8"/>
      <c r="FB1093" s="8"/>
      <c r="FC1093" s="8"/>
      <c r="FD1093" s="8"/>
      <c r="FE1093" s="8"/>
      <c r="FF1093" s="8"/>
      <c r="FG1093" s="8"/>
      <c r="FH1093" s="8"/>
      <c r="FI1093" s="8"/>
      <c r="FJ1093" s="8"/>
      <c r="FK1093" s="8"/>
      <c r="FL1093" s="8"/>
      <c r="FM1093" s="8"/>
      <c r="FN1093" s="8"/>
      <c r="FO1093" s="8"/>
      <c r="FP1093" s="8"/>
      <c r="FQ1093" s="8"/>
      <c r="FR1093" s="8"/>
      <c r="FS1093" s="8"/>
      <c r="FT1093" s="8"/>
      <c r="FU1093" s="8"/>
      <c r="FV1093" s="8"/>
      <c r="FW1093" s="8"/>
      <c r="FX1093" s="8"/>
      <c r="FY1093" s="8"/>
      <c r="FZ1093" s="8"/>
      <c r="GA1093" s="8"/>
      <c r="GB1093" s="8"/>
      <c r="GC1093" s="8"/>
      <c r="GD1093" s="8"/>
      <c r="GE1093" s="8"/>
      <c r="GF1093" s="8"/>
      <c r="GG1093" s="8"/>
      <c r="GH1093" s="8"/>
      <c r="GI1093" s="8"/>
      <c r="GJ1093" s="8"/>
      <c r="GK1093" s="8"/>
      <c r="GL1093" s="8"/>
      <c r="GM1093" s="8"/>
      <c r="GN1093" s="8"/>
      <c r="GO1093" s="8"/>
      <c r="GP1093" s="8"/>
      <c r="GQ1093" s="8"/>
      <c r="GR1093" s="8"/>
      <c r="GS1093" s="8"/>
      <c r="GT1093" s="8"/>
      <c r="GU1093" s="8"/>
      <c r="GV1093" s="8"/>
      <c r="GW1093" s="8"/>
      <c r="GX1093" s="8"/>
      <c r="GY1093" s="8"/>
      <c r="GZ1093" s="8"/>
      <c r="HA1093" s="8"/>
      <c r="HB1093" s="8"/>
      <c r="HC1093" s="8"/>
      <c r="HD1093" s="8"/>
      <c r="HE1093" s="8"/>
      <c r="HF1093" s="8"/>
      <c r="HG1093" s="8"/>
      <c r="HH1093" s="8"/>
      <c r="HI1093" s="8"/>
      <c r="HJ1093" s="8"/>
      <c r="HK1093" s="8"/>
      <c r="HL1093" s="8"/>
      <c r="HM1093" s="8"/>
      <c r="HN1093" s="8"/>
      <c r="HO1093" s="8"/>
      <c r="HP1093" s="8"/>
      <c r="HQ1093" s="8"/>
      <c r="HR1093" s="8"/>
      <c r="HS1093" s="8"/>
      <c r="HT1093" s="8"/>
      <c r="HU1093" s="8"/>
      <c r="HV1093" s="8"/>
      <c r="HW1093" s="8"/>
      <c r="HX1093" s="8"/>
      <c r="HY1093" s="8"/>
      <c r="HZ1093" s="8"/>
      <c r="IA1093" s="8"/>
      <c r="IB1093" s="8"/>
      <c r="IC1093" s="8"/>
      <c r="ID1093" s="8"/>
      <c r="IE1093" s="8"/>
      <c r="IF1093" s="8"/>
    </row>
    <row r="1094" spans="1:240" ht="30" customHeight="1">
      <c r="A1094" s="5">
        <v>1092</v>
      </c>
      <c r="B1094" s="5"/>
      <c r="C1094" s="5"/>
      <c r="D1094" s="5" t="s">
        <v>68</v>
      </c>
      <c r="E1094" s="5" t="e">
        <f>211*#REF!</f>
        <v>#REF!</v>
      </c>
      <c r="F1094" s="5" t="s">
        <v>48</v>
      </c>
      <c r="G1094" s="5" t="e">
        <f>159*#REF!</f>
        <v>#REF!</v>
      </c>
      <c r="H1094" s="15">
        <f>15656*0.454</f>
        <v>7107.8240000000005</v>
      </c>
      <c r="I1094" s="5" t="s">
        <v>13</v>
      </c>
      <c r="J1094" s="15">
        <f>1350/4.4</f>
        <v>306.81818181818181</v>
      </c>
      <c r="K1094" s="15">
        <f t="shared" si="29"/>
        <v>5.5560000000000009</v>
      </c>
      <c r="L1094" s="5">
        <v>1406.7</v>
      </c>
      <c r="M1094" s="15">
        <f t="shared" si="30"/>
        <v>5.5549999999999997</v>
      </c>
      <c r="N1094" s="5"/>
      <c r="O1094" s="15">
        <f>91810*1.6978</f>
        <v>155875.01800000001</v>
      </c>
      <c r="P1094" s="5"/>
      <c r="Q1094" s="5"/>
      <c r="R1094" s="5">
        <v>1</v>
      </c>
      <c r="S1094" s="5" t="e">
        <f>94*#REF!</f>
        <v>#REF!</v>
      </c>
      <c r="T1094" s="5"/>
      <c r="U1094" s="5">
        <v>1750</v>
      </c>
      <c r="V1094" s="15">
        <f>15*0.7457</f>
        <v>11.185500000000001</v>
      </c>
      <c r="W1094" s="5" t="s">
        <v>98</v>
      </c>
      <c r="X1094" s="5" t="s">
        <v>48</v>
      </c>
      <c r="Y1094" s="5" t="s">
        <v>48</v>
      </c>
      <c r="Z1094" s="5" t="s">
        <v>48</v>
      </c>
      <c r="AA1094" s="5"/>
      <c r="AB1094" s="5"/>
      <c r="AC1094" s="5"/>
      <c r="AD1094" s="5"/>
      <c r="AE1094" s="5"/>
      <c r="AF1094" s="5"/>
      <c r="AG1094" s="5"/>
      <c r="AH1094" s="16" t="s">
        <v>48</v>
      </c>
      <c r="AI1094" s="5"/>
      <c r="AJ1094" s="5"/>
      <c r="AK1094" s="5"/>
      <c r="AL1094" s="5"/>
      <c r="AM1094" s="16" t="str">
        <f t="shared" si="31"/>
        <v>_</v>
      </c>
      <c r="AN1094" s="5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8"/>
      <c r="BS1094" s="8"/>
      <c r="BT1094" s="8"/>
      <c r="BU1094" s="8"/>
      <c r="BV1094" s="8"/>
      <c r="BW1094" s="8"/>
      <c r="BX1094" s="8"/>
      <c r="BY1094" s="8"/>
      <c r="BZ1094" s="8"/>
      <c r="CA1094" s="8"/>
      <c r="CB1094" s="8"/>
      <c r="CC1094" s="8"/>
      <c r="CD1094" s="8"/>
      <c r="CE1094" s="8"/>
      <c r="CF1094" s="8"/>
      <c r="CG1094" s="8"/>
      <c r="CH1094" s="8"/>
      <c r="CI1094" s="8"/>
      <c r="CJ1094" s="8"/>
      <c r="CK1094" s="8"/>
      <c r="CL1094" s="8"/>
      <c r="CM1094" s="8"/>
      <c r="CN1094" s="8"/>
      <c r="CO1094" s="8"/>
      <c r="CP1094" s="8"/>
      <c r="CQ1094" s="8"/>
      <c r="CR1094" s="8"/>
      <c r="CS1094" s="8"/>
      <c r="CT1094" s="8"/>
      <c r="CU1094" s="8"/>
      <c r="CV1094" s="8"/>
      <c r="CW1094" s="8"/>
      <c r="CX1094" s="8"/>
      <c r="CY1094" s="8"/>
      <c r="CZ1094" s="8"/>
      <c r="DA1094" s="8"/>
      <c r="DB1094" s="8"/>
      <c r="DC1094" s="8"/>
      <c r="DD1094" s="8"/>
      <c r="DE1094" s="8"/>
      <c r="DF1094" s="8"/>
      <c r="DG1094" s="8"/>
      <c r="DH1094" s="8"/>
      <c r="DI1094" s="8"/>
      <c r="DJ1094" s="8"/>
      <c r="DK1094" s="8"/>
      <c r="DL1094" s="8"/>
      <c r="DM1094" s="8"/>
      <c r="DN1094" s="8"/>
      <c r="DO1094" s="8"/>
      <c r="DP1094" s="8"/>
      <c r="DQ1094" s="8"/>
      <c r="DR1094" s="8"/>
      <c r="DS1094" s="8"/>
      <c r="DT1094" s="8"/>
      <c r="DU1094" s="8"/>
      <c r="DV1094" s="8"/>
      <c r="DW1094" s="8"/>
      <c r="DX1094" s="8"/>
      <c r="DY1094" s="8"/>
      <c r="DZ1094" s="8"/>
      <c r="EA1094" s="8"/>
      <c r="EB1094" s="8"/>
      <c r="EC1094" s="8"/>
      <c r="ED1094" s="8"/>
      <c r="EE1094" s="8"/>
      <c r="EF1094" s="8"/>
      <c r="EG1094" s="8"/>
      <c r="EH1094" s="8"/>
      <c r="EI1094" s="8"/>
      <c r="EJ1094" s="8"/>
      <c r="EK1094" s="8"/>
      <c r="EL1094" s="8"/>
      <c r="EM1094" s="8"/>
      <c r="EN1094" s="8"/>
      <c r="EO1094" s="8"/>
      <c r="EP1094" s="8"/>
      <c r="EQ1094" s="8"/>
      <c r="ER1094" s="8"/>
      <c r="ES1094" s="8"/>
      <c r="ET1094" s="8"/>
      <c r="EU1094" s="8"/>
      <c r="EV1094" s="8"/>
      <c r="EW1094" s="8"/>
      <c r="EX1094" s="8"/>
      <c r="EY1094" s="8"/>
      <c r="EZ1094" s="8"/>
      <c r="FA1094" s="8"/>
      <c r="FB1094" s="8"/>
      <c r="FC1094" s="8"/>
      <c r="FD1094" s="8"/>
      <c r="FE1094" s="8"/>
      <c r="FF1094" s="8"/>
      <c r="FG1094" s="8"/>
      <c r="FH1094" s="8"/>
      <c r="FI1094" s="8"/>
      <c r="FJ1094" s="8"/>
      <c r="FK1094" s="8"/>
      <c r="FL1094" s="8"/>
      <c r="FM1094" s="8"/>
      <c r="FN1094" s="8"/>
      <c r="FO1094" s="8"/>
      <c r="FP1094" s="8"/>
      <c r="FQ1094" s="8"/>
      <c r="FR1094" s="8"/>
      <c r="FS1094" s="8"/>
      <c r="FT1094" s="8"/>
      <c r="FU1094" s="8"/>
      <c r="FV1094" s="8"/>
      <c r="FW1094" s="8"/>
      <c r="FX1094" s="8"/>
      <c r="FY1094" s="8"/>
      <c r="FZ1094" s="8"/>
      <c r="GA1094" s="8"/>
      <c r="GB1094" s="8"/>
      <c r="GC1094" s="8"/>
      <c r="GD1094" s="8"/>
      <c r="GE1094" s="8"/>
      <c r="GF1094" s="8"/>
      <c r="GG1094" s="8"/>
      <c r="GH1094" s="8"/>
      <c r="GI1094" s="8"/>
      <c r="GJ1094" s="8"/>
      <c r="GK1094" s="8"/>
      <c r="GL1094" s="8"/>
      <c r="GM1094" s="8"/>
      <c r="GN1094" s="8"/>
      <c r="GO1094" s="8"/>
      <c r="GP1094" s="8"/>
      <c r="GQ1094" s="8"/>
      <c r="GR1094" s="8"/>
      <c r="GS1094" s="8"/>
      <c r="GT1094" s="8"/>
      <c r="GU1094" s="8"/>
      <c r="GV1094" s="8"/>
      <c r="GW1094" s="8"/>
      <c r="GX1094" s="8"/>
      <c r="GY1094" s="8"/>
      <c r="GZ1094" s="8"/>
      <c r="HA1094" s="8"/>
      <c r="HB1094" s="8"/>
      <c r="HC1094" s="8"/>
      <c r="HD1094" s="8"/>
      <c r="HE1094" s="8"/>
      <c r="HF1094" s="8"/>
      <c r="HG1094" s="8"/>
      <c r="HH1094" s="8"/>
      <c r="HI1094" s="8"/>
      <c r="HJ1094" s="8"/>
      <c r="HK1094" s="8"/>
      <c r="HL1094" s="8"/>
      <c r="HM1094" s="8"/>
      <c r="HN1094" s="8"/>
      <c r="HO1094" s="8"/>
      <c r="HP1094" s="8"/>
      <c r="HQ1094" s="8"/>
      <c r="HR1094" s="8"/>
      <c r="HS1094" s="8"/>
      <c r="HT1094" s="8"/>
      <c r="HU1094" s="8"/>
      <c r="HV1094" s="8"/>
      <c r="HW1094" s="8"/>
      <c r="HX1094" s="8"/>
      <c r="HY1094" s="8"/>
      <c r="HZ1094" s="8"/>
      <c r="IA1094" s="8"/>
      <c r="IB1094" s="8"/>
      <c r="IC1094" s="8"/>
      <c r="ID1094" s="8"/>
      <c r="IE1094" s="8"/>
      <c r="IF1094" s="8"/>
    </row>
    <row r="1095" spans="1:240" ht="30" customHeight="1">
      <c r="A1095" s="5">
        <v>1093</v>
      </c>
      <c r="B1095" s="5"/>
      <c r="C1095" s="5"/>
      <c r="D1095" s="5" t="s">
        <v>68</v>
      </c>
      <c r="E1095" s="5" t="e">
        <f>260*#REF!</f>
        <v>#REF!</v>
      </c>
      <c r="F1095" s="5" t="s">
        <v>48</v>
      </c>
      <c r="G1095" s="5" t="e">
        <f>167*#REF!</f>
        <v>#REF!</v>
      </c>
      <c r="H1095" s="15">
        <f>16890*0.454</f>
        <v>7668.06</v>
      </c>
      <c r="I1095" s="5" t="s">
        <v>13</v>
      </c>
      <c r="J1095" s="15">
        <f>1650/4.4</f>
        <v>374.99999999999994</v>
      </c>
      <c r="K1095" s="15">
        <f t="shared" si="29"/>
        <v>5.5560000000000009</v>
      </c>
      <c r="L1095" s="5">
        <v>1758.4</v>
      </c>
      <c r="M1095" s="15">
        <f t="shared" si="30"/>
        <v>5.5549999999999997</v>
      </c>
      <c r="N1095" s="5"/>
      <c r="O1095" s="15">
        <f>97100*1.6978</f>
        <v>164856.38</v>
      </c>
      <c r="P1095" s="5"/>
      <c r="Q1095" s="5"/>
      <c r="R1095" s="5">
        <v>1</v>
      </c>
      <c r="S1095" s="5" t="e">
        <f>94*#REF!</f>
        <v>#REF!</v>
      </c>
      <c r="T1095" s="5"/>
      <c r="U1095" s="5">
        <v>1750</v>
      </c>
      <c r="V1095" s="15">
        <f>15*0.7457</f>
        <v>11.185500000000001</v>
      </c>
      <c r="W1095" s="5" t="s">
        <v>98</v>
      </c>
      <c r="X1095" s="5" t="s">
        <v>48</v>
      </c>
      <c r="Y1095" s="5" t="s">
        <v>48</v>
      </c>
      <c r="Z1095" s="5" t="s">
        <v>48</v>
      </c>
      <c r="AA1095" s="5"/>
      <c r="AB1095" s="5"/>
      <c r="AC1095" s="5"/>
      <c r="AD1095" s="5"/>
      <c r="AE1095" s="5"/>
      <c r="AF1095" s="5"/>
      <c r="AG1095" s="5"/>
      <c r="AH1095" s="16" t="s">
        <v>48</v>
      </c>
      <c r="AI1095" s="5"/>
      <c r="AJ1095" s="5"/>
      <c r="AK1095" s="5"/>
      <c r="AL1095" s="5"/>
      <c r="AM1095" s="16" t="str">
        <f t="shared" si="31"/>
        <v>_</v>
      </c>
      <c r="AN1095" s="5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8"/>
      <c r="BS1095" s="8"/>
      <c r="BT1095" s="8"/>
      <c r="BU1095" s="8"/>
      <c r="BV1095" s="8"/>
      <c r="BW1095" s="8"/>
      <c r="BX1095" s="8"/>
      <c r="BY1095" s="8"/>
      <c r="BZ1095" s="8"/>
      <c r="CA1095" s="8"/>
      <c r="CB1095" s="8"/>
      <c r="CC1095" s="8"/>
      <c r="CD1095" s="8"/>
      <c r="CE1095" s="8"/>
      <c r="CF1095" s="8"/>
      <c r="CG1095" s="8"/>
      <c r="CH1095" s="8"/>
      <c r="CI1095" s="8"/>
      <c r="CJ1095" s="8"/>
      <c r="CK1095" s="8"/>
      <c r="CL1095" s="8"/>
      <c r="CM1095" s="8"/>
      <c r="CN1095" s="8"/>
      <c r="CO1095" s="8"/>
      <c r="CP1095" s="8"/>
      <c r="CQ1095" s="8"/>
      <c r="CR1095" s="8"/>
      <c r="CS1095" s="8"/>
      <c r="CT1095" s="8"/>
      <c r="CU1095" s="8"/>
      <c r="CV1095" s="8"/>
      <c r="CW1095" s="8"/>
      <c r="CX1095" s="8"/>
      <c r="CY1095" s="8"/>
      <c r="CZ1095" s="8"/>
      <c r="DA1095" s="8"/>
      <c r="DB1095" s="8"/>
      <c r="DC1095" s="8"/>
      <c r="DD1095" s="8"/>
      <c r="DE1095" s="8"/>
      <c r="DF1095" s="8"/>
      <c r="DG1095" s="8"/>
      <c r="DH1095" s="8"/>
      <c r="DI1095" s="8"/>
      <c r="DJ1095" s="8"/>
      <c r="DK1095" s="8"/>
      <c r="DL1095" s="8"/>
      <c r="DM1095" s="8"/>
      <c r="DN1095" s="8"/>
      <c r="DO1095" s="8"/>
      <c r="DP1095" s="8"/>
      <c r="DQ1095" s="8"/>
      <c r="DR1095" s="8"/>
      <c r="DS1095" s="8"/>
      <c r="DT1095" s="8"/>
      <c r="DU1095" s="8"/>
      <c r="DV1095" s="8"/>
      <c r="DW1095" s="8"/>
      <c r="DX1095" s="8"/>
      <c r="DY1095" s="8"/>
      <c r="DZ1095" s="8"/>
      <c r="EA1095" s="8"/>
      <c r="EB1095" s="8"/>
      <c r="EC1095" s="8"/>
      <c r="ED1095" s="8"/>
      <c r="EE1095" s="8"/>
      <c r="EF1095" s="8"/>
      <c r="EG1095" s="8"/>
      <c r="EH1095" s="8"/>
      <c r="EI1095" s="8"/>
      <c r="EJ1095" s="8"/>
      <c r="EK1095" s="8"/>
      <c r="EL1095" s="8"/>
      <c r="EM1095" s="8"/>
      <c r="EN1095" s="8"/>
      <c r="EO1095" s="8"/>
      <c r="EP1095" s="8"/>
      <c r="EQ1095" s="8"/>
      <c r="ER1095" s="8"/>
      <c r="ES1095" s="8"/>
      <c r="ET1095" s="8"/>
      <c r="EU1095" s="8"/>
      <c r="EV1095" s="8"/>
      <c r="EW1095" s="8"/>
      <c r="EX1095" s="8"/>
      <c r="EY1095" s="8"/>
      <c r="EZ1095" s="8"/>
      <c r="FA1095" s="8"/>
      <c r="FB1095" s="8"/>
      <c r="FC1095" s="8"/>
      <c r="FD1095" s="8"/>
      <c r="FE1095" s="8"/>
      <c r="FF1095" s="8"/>
      <c r="FG1095" s="8"/>
      <c r="FH1095" s="8"/>
      <c r="FI1095" s="8"/>
      <c r="FJ1095" s="8"/>
      <c r="FK1095" s="8"/>
      <c r="FL1095" s="8"/>
      <c r="FM1095" s="8"/>
      <c r="FN1095" s="8"/>
      <c r="FO1095" s="8"/>
      <c r="FP1095" s="8"/>
      <c r="FQ1095" s="8"/>
      <c r="FR1095" s="8"/>
      <c r="FS1095" s="8"/>
      <c r="FT1095" s="8"/>
      <c r="FU1095" s="8"/>
      <c r="FV1095" s="8"/>
      <c r="FW1095" s="8"/>
      <c r="FX1095" s="8"/>
      <c r="FY1095" s="8"/>
      <c r="FZ1095" s="8"/>
      <c r="GA1095" s="8"/>
      <c r="GB1095" s="8"/>
      <c r="GC1095" s="8"/>
      <c r="GD1095" s="8"/>
      <c r="GE1095" s="8"/>
      <c r="GF1095" s="8"/>
      <c r="GG1095" s="8"/>
      <c r="GH1095" s="8"/>
      <c r="GI1095" s="8"/>
      <c r="GJ1095" s="8"/>
      <c r="GK1095" s="8"/>
      <c r="GL1095" s="8"/>
      <c r="GM1095" s="8"/>
      <c r="GN1095" s="8"/>
      <c r="GO1095" s="8"/>
      <c r="GP1095" s="8"/>
      <c r="GQ1095" s="8"/>
      <c r="GR1095" s="8"/>
      <c r="GS1095" s="8"/>
      <c r="GT1095" s="8"/>
      <c r="GU1095" s="8"/>
      <c r="GV1095" s="8"/>
      <c r="GW1095" s="8"/>
      <c r="GX1095" s="8"/>
      <c r="GY1095" s="8"/>
      <c r="GZ1095" s="8"/>
      <c r="HA1095" s="8"/>
      <c r="HB1095" s="8"/>
      <c r="HC1095" s="8"/>
      <c r="HD1095" s="8"/>
      <c r="HE1095" s="8"/>
      <c r="HF1095" s="8"/>
      <c r="HG1095" s="8"/>
      <c r="HH1095" s="8"/>
      <c r="HI1095" s="8"/>
      <c r="HJ1095" s="8"/>
      <c r="HK1095" s="8"/>
      <c r="HL1095" s="8"/>
      <c r="HM1095" s="8"/>
      <c r="HN1095" s="8"/>
      <c r="HO1095" s="8"/>
      <c r="HP1095" s="8"/>
      <c r="HQ1095" s="8"/>
      <c r="HR1095" s="8"/>
      <c r="HS1095" s="8"/>
      <c r="HT1095" s="8"/>
      <c r="HU1095" s="8"/>
      <c r="HV1095" s="8"/>
      <c r="HW1095" s="8"/>
      <c r="HX1095" s="8"/>
      <c r="HY1095" s="8"/>
      <c r="HZ1095" s="8"/>
      <c r="IA1095" s="8"/>
      <c r="IB1095" s="8"/>
      <c r="IC1095" s="8"/>
      <c r="ID1095" s="8"/>
      <c r="IE1095" s="8"/>
      <c r="IF1095" s="8"/>
    </row>
    <row r="1096" spans="1:240" ht="30" customHeight="1">
      <c r="A1096" s="5">
        <v>1094</v>
      </c>
      <c r="B1096" s="5"/>
      <c r="C1096" s="5"/>
      <c r="D1096" s="5" t="s">
        <v>68</v>
      </c>
      <c r="E1096" s="5" t="e">
        <f>260.25*#REF!</f>
        <v>#REF!</v>
      </c>
      <c r="F1096" s="5" t="s">
        <v>48</v>
      </c>
      <c r="G1096" s="5" t="e">
        <f>175*#REF!</f>
        <v>#REF!</v>
      </c>
      <c r="H1096" s="15">
        <f>21874*0.454</f>
        <v>9930.7960000000003</v>
      </c>
      <c r="I1096" s="5" t="s">
        <v>13</v>
      </c>
      <c r="J1096" s="15">
        <f>2000/4.4</f>
        <v>454.5454545454545</v>
      </c>
      <c r="K1096" s="15">
        <f t="shared" si="29"/>
        <v>5.5560000000000009</v>
      </c>
      <c r="L1096" s="5">
        <v>2110.1</v>
      </c>
      <c r="M1096" s="15">
        <f t="shared" si="30"/>
        <v>5.5549999999999997</v>
      </c>
      <c r="N1096" s="5"/>
      <c r="O1096" s="15">
        <f>132410*1.6978</f>
        <v>224805.698</v>
      </c>
      <c r="P1096" s="5"/>
      <c r="Q1096" s="5"/>
      <c r="R1096" s="5">
        <v>1</v>
      </c>
      <c r="S1096" s="5" t="e">
        <f>122*#REF!</f>
        <v>#REF!</v>
      </c>
      <c r="T1096" s="5"/>
      <c r="U1096" s="5">
        <v>1750</v>
      </c>
      <c r="V1096" s="15">
        <f>20*0.7457</f>
        <v>14.914000000000001</v>
      </c>
      <c r="W1096" s="5" t="s">
        <v>98</v>
      </c>
      <c r="X1096" s="5" t="s">
        <v>48</v>
      </c>
      <c r="Y1096" s="5" t="s">
        <v>48</v>
      </c>
      <c r="Z1096" s="5" t="s">
        <v>48</v>
      </c>
      <c r="AA1096" s="5"/>
      <c r="AB1096" s="5"/>
      <c r="AC1096" s="5"/>
      <c r="AD1096" s="5"/>
      <c r="AE1096" s="5"/>
      <c r="AF1096" s="5"/>
      <c r="AG1096" s="5"/>
      <c r="AH1096" s="16" t="s">
        <v>48</v>
      </c>
      <c r="AI1096" s="5"/>
      <c r="AJ1096" s="5"/>
      <c r="AK1096" s="5"/>
      <c r="AL1096" s="5"/>
      <c r="AM1096" s="16" t="str">
        <f t="shared" si="31"/>
        <v>_</v>
      </c>
      <c r="AN1096" s="5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8"/>
      <c r="BS1096" s="8"/>
      <c r="BT1096" s="8"/>
      <c r="BU1096" s="8"/>
      <c r="BV1096" s="8"/>
      <c r="BW1096" s="8"/>
      <c r="BX1096" s="8"/>
      <c r="BY1096" s="8"/>
      <c r="BZ1096" s="8"/>
      <c r="CA1096" s="8"/>
      <c r="CB1096" s="8"/>
      <c r="CC1096" s="8"/>
      <c r="CD1096" s="8"/>
      <c r="CE1096" s="8"/>
      <c r="CF1096" s="8"/>
      <c r="CG1096" s="8"/>
      <c r="CH1096" s="8"/>
      <c r="CI1096" s="8"/>
      <c r="CJ1096" s="8"/>
      <c r="CK1096" s="8"/>
      <c r="CL1096" s="8"/>
      <c r="CM1096" s="8"/>
      <c r="CN1096" s="8"/>
      <c r="CO1096" s="8"/>
      <c r="CP1096" s="8"/>
      <c r="CQ1096" s="8"/>
      <c r="CR1096" s="8"/>
      <c r="CS1096" s="8"/>
      <c r="CT1096" s="8"/>
      <c r="CU1096" s="8"/>
      <c r="CV1096" s="8"/>
      <c r="CW1096" s="8"/>
      <c r="CX1096" s="8"/>
      <c r="CY1096" s="8"/>
      <c r="CZ1096" s="8"/>
      <c r="DA1096" s="8"/>
      <c r="DB1096" s="8"/>
      <c r="DC1096" s="8"/>
      <c r="DD1096" s="8"/>
      <c r="DE1096" s="8"/>
      <c r="DF1096" s="8"/>
      <c r="DG1096" s="8"/>
      <c r="DH1096" s="8"/>
      <c r="DI1096" s="8"/>
      <c r="DJ1096" s="8"/>
      <c r="DK1096" s="8"/>
      <c r="DL1096" s="8"/>
      <c r="DM1096" s="8"/>
      <c r="DN1096" s="8"/>
      <c r="DO1096" s="8"/>
      <c r="DP1096" s="8"/>
      <c r="DQ1096" s="8"/>
      <c r="DR1096" s="8"/>
      <c r="DS1096" s="8"/>
      <c r="DT1096" s="8"/>
      <c r="DU1096" s="8"/>
      <c r="DV1096" s="8"/>
      <c r="DW1096" s="8"/>
      <c r="DX1096" s="8"/>
      <c r="DY1096" s="8"/>
      <c r="DZ1096" s="8"/>
      <c r="EA1096" s="8"/>
      <c r="EB1096" s="8"/>
      <c r="EC1096" s="8"/>
      <c r="ED1096" s="8"/>
      <c r="EE1096" s="8"/>
      <c r="EF1096" s="8"/>
      <c r="EG1096" s="8"/>
      <c r="EH1096" s="8"/>
      <c r="EI1096" s="8"/>
      <c r="EJ1096" s="8"/>
      <c r="EK1096" s="8"/>
      <c r="EL1096" s="8"/>
      <c r="EM1096" s="8"/>
      <c r="EN1096" s="8"/>
      <c r="EO1096" s="8"/>
      <c r="EP1096" s="8"/>
      <c r="EQ1096" s="8"/>
      <c r="ER1096" s="8"/>
      <c r="ES1096" s="8"/>
      <c r="ET1096" s="8"/>
      <c r="EU1096" s="8"/>
      <c r="EV1096" s="8"/>
      <c r="EW1096" s="8"/>
      <c r="EX1096" s="8"/>
      <c r="EY1096" s="8"/>
      <c r="EZ1096" s="8"/>
      <c r="FA1096" s="8"/>
      <c r="FB1096" s="8"/>
      <c r="FC1096" s="8"/>
      <c r="FD1096" s="8"/>
      <c r="FE1096" s="8"/>
      <c r="FF1096" s="8"/>
      <c r="FG1096" s="8"/>
      <c r="FH1096" s="8"/>
      <c r="FI1096" s="8"/>
      <c r="FJ1096" s="8"/>
      <c r="FK1096" s="8"/>
      <c r="FL1096" s="8"/>
      <c r="FM1096" s="8"/>
      <c r="FN1096" s="8"/>
      <c r="FO1096" s="8"/>
      <c r="FP1096" s="8"/>
      <c r="FQ1096" s="8"/>
      <c r="FR1096" s="8"/>
      <c r="FS1096" s="8"/>
      <c r="FT1096" s="8"/>
      <c r="FU1096" s="8"/>
      <c r="FV1096" s="8"/>
      <c r="FW1096" s="8"/>
      <c r="FX1096" s="8"/>
      <c r="FY1096" s="8"/>
      <c r="FZ1096" s="8"/>
      <c r="GA1096" s="8"/>
      <c r="GB1096" s="8"/>
      <c r="GC1096" s="8"/>
      <c r="GD1096" s="8"/>
      <c r="GE1096" s="8"/>
      <c r="GF1096" s="8"/>
      <c r="GG1096" s="8"/>
      <c r="GH1096" s="8"/>
      <c r="GI1096" s="8"/>
      <c r="GJ1096" s="8"/>
      <c r="GK1096" s="8"/>
      <c r="GL1096" s="8"/>
      <c r="GM1096" s="8"/>
      <c r="GN1096" s="8"/>
      <c r="GO1096" s="8"/>
      <c r="GP1096" s="8"/>
      <c r="GQ1096" s="8"/>
      <c r="GR1096" s="8"/>
      <c r="GS1096" s="8"/>
      <c r="GT1096" s="8"/>
      <c r="GU1096" s="8"/>
      <c r="GV1096" s="8"/>
      <c r="GW1096" s="8"/>
      <c r="GX1096" s="8"/>
      <c r="GY1096" s="8"/>
      <c r="GZ1096" s="8"/>
      <c r="HA1096" s="8"/>
      <c r="HB1096" s="8"/>
      <c r="HC1096" s="8"/>
      <c r="HD1096" s="8"/>
      <c r="HE1096" s="8"/>
      <c r="HF1096" s="8"/>
      <c r="HG1096" s="8"/>
      <c r="HH1096" s="8"/>
      <c r="HI1096" s="8"/>
      <c r="HJ1096" s="8"/>
      <c r="HK1096" s="8"/>
      <c r="HL1096" s="8"/>
      <c r="HM1096" s="8"/>
      <c r="HN1096" s="8"/>
      <c r="HO1096" s="8"/>
      <c r="HP1096" s="8"/>
      <c r="HQ1096" s="8"/>
      <c r="HR1096" s="8"/>
      <c r="HS1096" s="8"/>
      <c r="HT1096" s="8"/>
      <c r="HU1096" s="8"/>
      <c r="HV1096" s="8"/>
      <c r="HW1096" s="8"/>
      <c r="HX1096" s="8"/>
      <c r="HY1096" s="8"/>
      <c r="HZ1096" s="8"/>
      <c r="IA1096" s="8"/>
      <c r="IB1096" s="8"/>
      <c r="IC1096" s="8"/>
      <c r="ID1096" s="8"/>
      <c r="IE1096" s="8"/>
      <c r="IF1096" s="8"/>
    </row>
    <row r="1097" spans="1:240" ht="30" customHeight="1">
      <c r="A1097" s="5">
        <v>1095</v>
      </c>
      <c r="B1097" s="5"/>
      <c r="C1097" s="5"/>
      <c r="D1097" s="5" t="s">
        <v>68</v>
      </c>
      <c r="E1097" s="5" t="e">
        <f>291*#REF!</f>
        <v>#REF!</v>
      </c>
      <c r="F1097" s="5" t="s">
        <v>48</v>
      </c>
      <c r="G1097" s="5" t="e">
        <f>183*#REF!</f>
        <v>#REF!</v>
      </c>
      <c r="H1097" s="15">
        <f>25688*0.454</f>
        <v>11662.352000000001</v>
      </c>
      <c r="I1097" s="5" t="s">
        <v>13</v>
      </c>
      <c r="J1097" s="15">
        <f>2300/4.4</f>
        <v>522.72727272727263</v>
      </c>
      <c r="K1097" s="15">
        <f t="shared" si="29"/>
        <v>5.5560000000000009</v>
      </c>
      <c r="L1097" s="5">
        <v>2461.8000000000002</v>
      </c>
      <c r="M1097" s="15">
        <f t="shared" si="30"/>
        <v>5.5549999999999997</v>
      </c>
      <c r="N1097" s="5"/>
      <c r="O1097" s="15">
        <f>137710*1.6978</f>
        <v>233804.038</v>
      </c>
      <c r="P1097" s="5"/>
      <c r="Q1097" s="5"/>
      <c r="R1097" s="5">
        <v>1</v>
      </c>
      <c r="S1097" s="5" t="e">
        <f>122*#REF!</f>
        <v>#REF!</v>
      </c>
      <c r="T1097" s="5"/>
      <c r="U1097" s="5">
        <v>1750</v>
      </c>
      <c r="V1097" s="15">
        <f>20*0.7457</f>
        <v>14.914000000000001</v>
      </c>
      <c r="W1097" s="5" t="s">
        <v>98</v>
      </c>
      <c r="X1097" s="5" t="s">
        <v>48</v>
      </c>
      <c r="Y1097" s="5" t="s">
        <v>48</v>
      </c>
      <c r="Z1097" s="5" t="s">
        <v>48</v>
      </c>
      <c r="AA1097" s="5"/>
      <c r="AB1097" s="5"/>
      <c r="AC1097" s="5"/>
      <c r="AD1097" s="5"/>
      <c r="AE1097" s="5"/>
      <c r="AF1097" s="5"/>
      <c r="AG1097" s="5"/>
      <c r="AH1097" s="16" t="s">
        <v>48</v>
      </c>
      <c r="AI1097" s="5"/>
      <c r="AJ1097" s="5"/>
      <c r="AK1097" s="5"/>
      <c r="AL1097" s="5"/>
      <c r="AM1097" s="16" t="str">
        <f t="shared" si="31"/>
        <v>_</v>
      </c>
      <c r="AN1097" s="5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8"/>
      <c r="BS1097" s="8"/>
      <c r="BT1097" s="8"/>
      <c r="BU1097" s="8"/>
      <c r="BV1097" s="8"/>
      <c r="BW1097" s="8"/>
      <c r="BX1097" s="8"/>
      <c r="BY1097" s="8"/>
      <c r="BZ1097" s="8"/>
      <c r="CA1097" s="8"/>
      <c r="CB1097" s="8"/>
      <c r="CC1097" s="8"/>
      <c r="CD1097" s="8"/>
      <c r="CE1097" s="8"/>
      <c r="CF1097" s="8"/>
      <c r="CG1097" s="8"/>
      <c r="CH1097" s="8"/>
      <c r="CI1097" s="8"/>
      <c r="CJ1097" s="8"/>
      <c r="CK1097" s="8"/>
      <c r="CL1097" s="8"/>
      <c r="CM1097" s="8"/>
      <c r="CN1097" s="8"/>
      <c r="CO1097" s="8"/>
      <c r="CP1097" s="8"/>
      <c r="CQ1097" s="8"/>
      <c r="CR1097" s="8"/>
      <c r="CS1097" s="8"/>
      <c r="CT1097" s="8"/>
      <c r="CU1097" s="8"/>
      <c r="CV1097" s="8"/>
      <c r="CW1097" s="8"/>
      <c r="CX1097" s="8"/>
      <c r="CY1097" s="8"/>
      <c r="CZ1097" s="8"/>
      <c r="DA1097" s="8"/>
      <c r="DB1097" s="8"/>
      <c r="DC1097" s="8"/>
      <c r="DD1097" s="8"/>
      <c r="DE1097" s="8"/>
      <c r="DF1097" s="8"/>
      <c r="DG1097" s="8"/>
      <c r="DH1097" s="8"/>
      <c r="DI1097" s="8"/>
      <c r="DJ1097" s="8"/>
      <c r="DK1097" s="8"/>
      <c r="DL1097" s="8"/>
      <c r="DM1097" s="8"/>
      <c r="DN1097" s="8"/>
      <c r="DO1097" s="8"/>
      <c r="DP1097" s="8"/>
      <c r="DQ1097" s="8"/>
      <c r="DR1097" s="8"/>
      <c r="DS1097" s="8"/>
      <c r="DT1097" s="8"/>
      <c r="DU1097" s="8"/>
      <c r="DV1097" s="8"/>
      <c r="DW1097" s="8"/>
      <c r="DX1097" s="8"/>
      <c r="DY1097" s="8"/>
      <c r="DZ1097" s="8"/>
      <c r="EA1097" s="8"/>
      <c r="EB1097" s="8"/>
      <c r="EC1097" s="8"/>
      <c r="ED1097" s="8"/>
      <c r="EE1097" s="8"/>
      <c r="EF1097" s="8"/>
      <c r="EG1097" s="8"/>
      <c r="EH1097" s="8"/>
      <c r="EI1097" s="8"/>
      <c r="EJ1097" s="8"/>
      <c r="EK1097" s="8"/>
      <c r="EL1097" s="8"/>
      <c r="EM1097" s="8"/>
      <c r="EN1097" s="8"/>
      <c r="EO1097" s="8"/>
      <c r="EP1097" s="8"/>
      <c r="EQ1097" s="8"/>
      <c r="ER1097" s="8"/>
      <c r="ES1097" s="8"/>
      <c r="ET1097" s="8"/>
      <c r="EU1097" s="8"/>
      <c r="EV1097" s="8"/>
      <c r="EW1097" s="8"/>
      <c r="EX1097" s="8"/>
      <c r="EY1097" s="8"/>
      <c r="EZ1097" s="8"/>
      <c r="FA1097" s="8"/>
      <c r="FB1097" s="8"/>
      <c r="FC1097" s="8"/>
      <c r="FD1097" s="8"/>
      <c r="FE1097" s="8"/>
      <c r="FF1097" s="8"/>
      <c r="FG1097" s="8"/>
      <c r="FH1097" s="8"/>
      <c r="FI1097" s="8"/>
      <c r="FJ1097" s="8"/>
      <c r="FK1097" s="8"/>
      <c r="FL1097" s="8"/>
      <c r="FM1097" s="8"/>
      <c r="FN1097" s="8"/>
      <c r="FO1097" s="8"/>
      <c r="FP1097" s="8"/>
      <c r="FQ1097" s="8"/>
      <c r="FR1097" s="8"/>
      <c r="FS1097" s="8"/>
      <c r="FT1097" s="8"/>
      <c r="FU1097" s="8"/>
      <c r="FV1097" s="8"/>
      <c r="FW1097" s="8"/>
      <c r="FX1097" s="8"/>
      <c r="FY1097" s="8"/>
      <c r="FZ1097" s="8"/>
      <c r="GA1097" s="8"/>
      <c r="GB1097" s="8"/>
      <c r="GC1097" s="8"/>
      <c r="GD1097" s="8"/>
      <c r="GE1097" s="8"/>
      <c r="GF1097" s="8"/>
      <c r="GG1097" s="8"/>
      <c r="GH1097" s="8"/>
      <c r="GI1097" s="8"/>
      <c r="GJ1097" s="8"/>
      <c r="GK1097" s="8"/>
      <c r="GL1097" s="8"/>
      <c r="GM1097" s="8"/>
      <c r="GN1097" s="8"/>
      <c r="GO1097" s="8"/>
      <c r="GP1097" s="8"/>
      <c r="GQ1097" s="8"/>
      <c r="GR1097" s="8"/>
      <c r="GS1097" s="8"/>
      <c r="GT1097" s="8"/>
      <c r="GU1097" s="8"/>
      <c r="GV1097" s="8"/>
      <c r="GW1097" s="8"/>
      <c r="GX1097" s="8"/>
      <c r="GY1097" s="8"/>
      <c r="GZ1097" s="8"/>
      <c r="HA1097" s="8"/>
      <c r="HB1097" s="8"/>
      <c r="HC1097" s="8"/>
      <c r="HD1097" s="8"/>
      <c r="HE1097" s="8"/>
      <c r="HF1097" s="8"/>
      <c r="HG1097" s="8"/>
      <c r="HH1097" s="8"/>
      <c r="HI1097" s="8"/>
      <c r="HJ1097" s="8"/>
      <c r="HK1097" s="8"/>
      <c r="HL1097" s="8"/>
      <c r="HM1097" s="8"/>
      <c r="HN1097" s="8"/>
      <c r="HO1097" s="8"/>
      <c r="HP1097" s="8"/>
      <c r="HQ1097" s="8"/>
      <c r="HR1097" s="8"/>
      <c r="HS1097" s="8"/>
      <c r="HT1097" s="8"/>
      <c r="HU1097" s="8"/>
      <c r="HV1097" s="8"/>
      <c r="HW1097" s="8"/>
      <c r="HX1097" s="8"/>
      <c r="HY1097" s="8"/>
      <c r="HZ1097" s="8"/>
      <c r="IA1097" s="8"/>
      <c r="IB1097" s="8"/>
      <c r="IC1097" s="8"/>
      <c r="ID1097" s="8"/>
      <c r="IE1097" s="8"/>
      <c r="IF1097" s="8"/>
    </row>
    <row r="1098" spans="1:240" ht="30" customHeight="1">
      <c r="A1098" s="5">
        <v>1096</v>
      </c>
      <c r="B1098" s="5"/>
      <c r="C1098" s="5"/>
      <c r="D1098" s="5" t="s">
        <v>68</v>
      </c>
      <c r="E1098" s="5" t="e">
        <f>291*#REF!</f>
        <v>#REF!</v>
      </c>
      <c r="F1098" s="5" t="s">
        <v>48</v>
      </c>
      <c r="G1098" s="5" t="e">
        <f>205*#REF!</f>
        <v>#REF!</v>
      </c>
      <c r="H1098" s="15">
        <f>26460*0.454</f>
        <v>12012.84</v>
      </c>
      <c r="I1098" s="5" t="s">
        <v>13</v>
      </c>
      <c r="J1098" s="15">
        <f>2650/4.4</f>
        <v>602.27272727272725</v>
      </c>
      <c r="K1098" s="15">
        <f t="shared" si="29"/>
        <v>5.5560000000000009</v>
      </c>
      <c r="L1098" s="5">
        <v>2813.5</v>
      </c>
      <c r="M1098" s="15">
        <f t="shared" si="30"/>
        <v>5.5549999999999997</v>
      </c>
      <c r="N1098" s="5"/>
      <c r="O1098" s="15">
        <f>176550*1.6978</f>
        <v>299746.58999999997</v>
      </c>
      <c r="P1098" s="5"/>
      <c r="Q1098" s="5"/>
      <c r="R1098" s="5">
        <v>1</v>
      </c>
      <c r="S1098" s="5" t="s">
        <v>48</v>
      </c>
      <c r="T1098" s="5"/>
      <c r="U1098" s="5" t="s">
        <v>48</v>
      </c>
      <c r="V1098" s="15">
        <f>25*0.7457</f>
        <v>18.642500000000002</v>
      </c>
      <c r="W1098" s="5" t="s">
        <v>98</v>
      </c>
      <c r="X1098" s="5" t="s">
        <v>48</v>
      </c>
      <c r="Y1098" s="5" t="s">
        <v>48</v>
      </c>
      <c r="Z1098" s="5" t="s">
        <v>48</v>
      </c>
      <c r="AA1098" s="5"/>
      <c r="AB1098" s="5"/>
      <c r="AC1098" s="5"/>
      <c r="AD1098" s="5"/>
      <c r="AE1098" s="5"/>
      <c r="AF1098" s="5"/>
      <c r="AG1098" s="5"/>
      <c r="AH1098" s="16" t="s">
        <v>48</v>
      </c>
      <c r="AI1098" s="5"/>
      <c r="AJ1098" s="5"/>
      <c r="AK1098" s="5"/>
      <c r="AL1098" s="5"/>
      <c r="AM1098" s="16" t="str">
        <f t="shared" si="31"/>
        <v>_</v>
      </c>
      <c r="AN1098" s="5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8"/>
      <c r="BS1098" s="8"/>
      <c r="BT1098" s="8"/>
      <c r="BU1098" s="8"/>
      <c r="BV1098" s="8"/>
      <c r="BW1098" s="8"/>
      <c r="BX1098" s="8"/>
      <c r="BY1098" s="8"/>
      <c r="BZ1098" s="8"/>
      <c r="CA1098" s="8"/>
      <c r="CB1098" s="8"/>
      <c r="CC1098" s="8"/>
      <c r="CD1098" s="8"/>
      <c r="CE1098" s="8"/>
      <c r="CF1098" s="8"/>
      <c r="CG1098" s="8"/>
      <c r="CH1098" s="8"/>
      <c r="CI1098" s="8"/>
      <c r="CJ1098" s="8"/>
      <c r="CK1098" s="8"/>
      <c r="CL1098" s="8"/>
      <c r="CM1098" s="8"/>
      <c r="CN1098" s="8"/>
      <c r="CO1098" s="8"/>
      <c r="CP1098" s="8"/>
      <c r="CQ1098" s="8"/>
      <c r="CR1098" s="8"/>
      <c r="CS1098" s="8"/>
      <c r="CT1098" s="8"/>
      <c r="CU1098" s="8"/>
      <c r="CV1098" s="8"/>
      <c r="CW1098" s="8"/>
      <c r="CX1098" s="8"/>
      <c r="CY1098" s="8"/>
      <c r="CZ1098" s="8"/>
      <c r="DA1098" s="8"/>
      <c r="DB1098" s="8"/>
      <c r="DC1098" s="8"/>
      <c r="DD1098" s="8"/>
      <c r="DE1098" s="8"/>
      <c r="DF1098" s="8"/>
      <c r="DG1098" s="8"/>
      <c r="DH1098" s="8"/>
      <c r="DI1098" s="8"/>
      <c r="DJ1098" s="8"/>
      <c r="DK1098" s="8"/>
      <c r="DL1098" s="8"/>
      <c r="DM1098" s="8"/>
      <c r="DN1098" s="8"/>
      <c r="DO1098" s="8"/>
      <c r="DP1098" s="8"/>
      <c r="DQ1098" s="8"/>
      <c r="DR1098" s="8"/>
      <c r="DS1098" s="8"/>
      <c r="DT1098" s="8"/>
      <c r="DU1098" s="8"/>
      <c r="DV1098" s="8"/>
      <c r="DW1098" s="8"/>
      <c r="DX1098" s="8"/>
      <c r="DY1098" s="8"/>
      <c r="DZ1098" s="8"/>
      <c r="EA1098" s="8"/>
      <c r="EB1098" s="8"/>
      <c r="EC1098" s="8"/>
      <c r="ED1098" s="8"/>
      <c r="EE1098" s="8"/>
      <c r="EF1098" s="8"/>
      <c r="EG1098" s="8"/>
      <c r="EH1098" s="8"/>
      <c r="EI1098" s="8"/>
      <c r="EJ1098" s="8"/>
      <c r="EK1098" s="8"/>
      <c r="EL1098" s="8"/>
      <c r="EM1098" s="8"/>
      <c r="EN1098" s="8"/>
      <c r="EO1098" s="8"/>
      <c r="EP1098" s="8"/>
      <c r="EQ1098" s="8"/>
      <c r="ER1098" s="8"/>
      <c r="ES1098" s="8"/>
      <c r="ET1098" s="8"/>
      <c r="EU1098" s="8"/>
      <c r="EV1098" s="8"/>
      <c r="EW1098" s="8"/>
      <c r="EX1098" s="8"/>
      <c r="EY1098" s="8"/>
      <c r="EZ1098" s="8"/>
      <c r="FA1098" s="8"/>
      <c r="FB1098" s="8"/>
      <c r="FC1098" s="8"/>
      <c r="FD1098" s="8"/>
      <c r="FE1098" s="8"/>
      <c r="FF1098" s="8"/>
      <c r="FG1098" s="8"/>
      <c r="FH1098" s="8"/>
      <c r="FI1098" s="8"/>
      <c r="FJ1098" s="8"/>
      <c r="FK1098" s="8"/>
      <c r="FL1098" s="8"/>
      <c r="FM1098" s="8"/>
      <c r="FN1098" s="8"/>
      <c r="FO1098" s="8"/>
      <c r="FP1098" s="8"/>
      <c r="FQ1098" s="8"/>
      <c r="FR1098" s="8"/>
      <c r="FS1098" s="8"/>
      <c r="FT1098" s="8"/>
      <c r="FU1098" s="8"/>
      <c r="FV1098" s="8"/>
      <c r="FW1098" s="8"/>
      <c r="FX1098" s="8"/>
      <c r="FY1098" s="8"/>
      <c r="FZ1098" s="8"/>
      <c r="GA1098" s="8"/>
      <c r="GB1098" s="8"/>
      <c r="GC1098" s="8"/>
      <c r="GD1098" s="8"/>
      <c r="GE1098" s="8"/>
      <c r="GF1098" s="8"/>
      <c r="GG1098" s="8"/>
      <c r="GH1098" s="8"/>
      <c r="GI1098" s="8"/>
      <c r="GJ1098" s="8"/>
      <c r="GK1098" s="8"/>
      <c r="GL1098" s="8"/>
      <c r="GM1098" s="8"/>
      <c r="GN1098" s="8"/>
      <c r="GO1098" s="8"/>
      <c r="GP1098" s="8"/>
      <c r="GQ1098" s="8"/>
      <c r="GR1098" s="8"/>
      <c r="GS1098" s="8"/>
      <c r="GT1098" s="8"/>
      <c r="GU1098" s="8"/>
      <c r="GV1098" s="8"/>
      <c r="GW1098" s="8"/>
      <c r="GX1098" s="8"/>
      <c r="GY1098" s="8"/>
      <c r="GZ1098" s="8"/>
      <c r="HA1098" s="8"/>
      <c r="HB1098" s="8"/>
      <c r="HC1098" s="8"/>
      <c r="HD1098" s="8"/>
      <c r="HE1098" s="8"/>
      <c r="HF1098" s="8"/>
      <c r="HG1098" s="8"/>
      <c r="HH1098" s="8"/>
      <c r="HI1098" s="8"/>
      <c r="HJ1098" s="8"/>
      <c r="HK1098" s="8"/>
      <c r="HL1098" s="8"/>
      <c r="HM1098" s="8"/>
      <c r="HN1098" s="8"/>
      <c r="HO1098" s="8"/>
      <c r="HP1098" s="8"/>
      <c r="HQ1098" s="8"/>
      <c r="HR1098" s="8"/>
      <c r="HS1098" s="8"/>
      <c r="HT1098" s="8"/>
      <c r="HU1098" s="8"/>
      <c r="HV1098" s="8"/>
      <c r="HW1098" s="8"/>
      <c r="HX1098" s="8"/>
      <c r="HY1098" s="8"/>
      <c r="HZ1098" s="8"/>
      <c r="IA1098" s="8"/>
      <c r="IB1098" s="8"/>
      <c r="IC1098" s="8"/>
      <c r="ID1098" s="8"/>
      <c r="IE1098" s="8"/>
      <c r="IF1098" s="8"/>
    </row>
    <row r="1099" spans="1:240" ht="30" customHeight="1">
      <c r="A1099" s="5">
        <v>1097</v>
      </c>
      <c r="B1099" s="5"/>
      <c r="C1099" s="5"/>
      <c r="D1099" s="5" t="s">
        <v>68</v>
      </c>
      <c r="E1099" s="5" t="e">
        <f>299.25*#REF!</f>
        <v>#REF!</v>
      </c>
      <c r="F1099" s="5" t="s">
        <v>48</v>
      </c>
      <c r="G1099" s="5" t="e">
        <f>211*#REF!</f>
        <v>#REF!</v>
      </c>
      <c r="H1099" s="15">
        <f>27122*0.454</f>
        <v>12313.388000000001</v>
      </c>
      <c r="I1099" s="5" t="s">
        <v>13</v>
      </c>
      <c r="J1099" s="15">
        <f>3000/4.4</f>
        <v>681.81818181818176</v>
      </c>
      <c r="K1099" s="15">
        <f t="shared" si="29"/>
        <v>5.5560000000000009</v>
      </c>
      <c r="L1099" s="5">
        <v>3516.9</v>
      </c>
      <c r="M1099" s="15">
        <f t="shared" si="30"/>
        <v>5.5549999999999997</v>
      </c>
      <c r="N1099" s="5"/>
      <c r="O1099" s="15">
        <f>183610*1.6978</f>
        <v>311733.05800000002</v>
      </c>
      <c r="P1099" s="5"/>
      <c r="Q1099" s="5"/>
      <c r="R1099" s="5">
        <v>1</v>
      </c>
      <c r="S1099" s="5" t="s">
        <v>48</v>
      </c>
      <c r="T1099" s="5"/>
      <c r="U1099" s="5" t="s">
        <v>48</v>
      </c>
      <c r="V1099" s="15">
        <f>30*0.7457</f>
        <v>22.371000000000002</v>
      </c>
      <c r="W1099" s="5" t="s">
        <v>98</v>
      </c>
      <c r="X1099" s="5" t="s">
        <v>48</v>
      </c>
      <c r="Y1099" s="5" t="s">
        <v>48</v>
      </c>
      <c r="Z1099" s="5" t="s">
        <v>48</v>
      </c>
      <c r="AA1099" s="5"/>
      <c r="AB1099" s="5"/>
      <c r="AC1099" s="5"/>
      <c r="AD1099" s="5"/>
      <c r="AE1099" s="5"/>
      <c r="AF1099" s="5"/>
      <c r="AG1099" s="5"/>
      <c r="AH1099" s="16" t="s">
        <v>48</v>
      </c>
      <c r="AI1099" s="5"/>
      <c r="AJ1099" s="5"/>
      <c r="AK1099" s="5"/>
      <c r="AL1099" s="5"/>
      <c r="AM1099" s="16" t="str">
        <f t="shared" si="31"/>
        <v>_</v>
      </c>
      <c r="AN1099" s="5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8"/>
      <c r="BS1099" s="8"/>
      <c r="BT1099" s="8"/>
      <c r="BU1099" s="8"/>
      <c r="BV1099" s="8"/>
      <c r="BW1099" s="8"/>
      <c r="BX1099" s="8"/>
      <c r="BY1099" s="8"/>
      <c r="BZ1099" s="8"/>
      <c r="CA1099" s="8"/>
      <c r="CB1099" s="8"/>
      <c r="CC1099" s="8"/>
      <c r="CD1099" s="8"/>
      <c r="CE1099" s="8"/>
      <c r="CF1099" s="8"/>
      <c r="CG1099" s="8"/>
      <c r="CH1099" s="8"/>
      <c r="CI1099" s="8"/>
      <c r="CJ1099" s="8"/>
      <c r="CK1099" s="8"/>
      <c r="CL1099" s="8"/>
      <c r="CM1099" s="8"/>
      <c r="CN1099" s="8"/>
      <c r="CO1099" s="8"/>
      <c r="CP1099" s="8"/>
      <c r="CQ1099" s="8"/>
      <c r="CR1099" s="8"/>
      <c r="CS1099" s="8"/>
      <c r="CT1099" s="8"/>
      <c r="CU1099" s="8"/>
      <c r="CV1099" s="8"/>
      <c r="CW1099" s="8"/>
      <c r="CX1099" s="8"/>
      <c r="CY1099" s="8"/>
      <c r="CZ1099" s="8"/>
      <c r="DA1099" s="8"/>
      <c r="DB1099" s="8"/>
      <c r="DC1099" s="8"/>
      <c r="DD1099" s="8"/>
      <c r="DE1099" s="8"/>
      <c r="DF1099" s="8"/>
      <c r="DG1099" s="8"/>
      <c r="DH1099" s="8"/>
      <c r="DI1099" s="8"/>
      <c r="DJ1099" s="8"/>
      <c r="DK1099" s="8"/>
      <c r="DL1099" s="8"/>
      <c r="DM1099" s="8"/>
      <c r="DN1099" s="8"/>
      <c r="DO1099" s="8"/>
      <c r="DP1099" s="8"/>
      <c r="DQ1099" s="8"/>
      <c r="DR1099" s="8"/>
      <c r="DS1099" s="8"/>
      <c r="DT1099" s="8"/>
      <c r="DU1099" s="8"/>
      <c r="DV1099" s="8"/>
      <c r="DW1099" s="8"/>
      <c r="DX1099" s="8"/>
      <c r="DY1099" s="8"/>
      <c r="DZ1099" s="8"/>
      <c r="EA1099" s="8"/>
      <c r="EB1099" s="8"/>
      <c r="EC1099" s="8"/>
      <c r="ED1099" s="8"/>
      <c r="EE1099" s="8"/>
      <c r="EF1099" s="8"/>
      <c r="EG1099" s="8"/>
      <c r="EH1099" s="8"/>
      <c r="EI1099" s="8"/>
      <c r="EJ1099" s="8"/>
      <c r="EK1099" s="8"/>
      <c r="EL1099" s="8"/>
      <c r="EM1099" s="8"/>
      <c r="EN1099" s="8"/>
      <c r="EO1099" s="8"/>
      <c r="EP1099" s="8"/>
      <c r="EQ1099" s="8"/>
      <c r="ER1099" s="8"/>
      <c r="ES1099" s="8"/>
      <c r="ET1099" s="8"/>
      <c r="EU1099" s="8"/>
      <c r="EV1099" s="8"/>
      <c r="EW1099" s="8"/>
      <c r="EX1099" s="8"/>
      <c r="EY1099" s="8"/>
      <c r="EZ1099" s="8"/>
      <c r="FA1099" s="8"/>
      <c r="FB1099" s="8"/>
      <c r="FC1099" s="8"/>
      <c r="FD1099" s="8"/>
      <c r="FE1099" s="8"/>
      <c r="FF1099" s="8"/>
      <c r="FG1099" s="8"/>
      <c r="FH1099" s="8"/>
      <c r="FI1099" s="8"/>
      <c r="FJ1099" s="8"/>
      <c r="FK1099" s="8"/>
      <c r="FL1099" s="8"/>
      <c r="FM1099" s="8"/>
      <c r="FN1099" s="8"/>
      <c r="FO1099" s="8"/>
      <c r="FP1099" s="8"/>
      <c r="FQ1099" s="8"/>
      <c r="FR1099" s="8"/>
      <c r="FS1099" s="8"/>
      <c r="FT1099" s="8"/>
      <c r="FU1099" s="8"/>
      <c r="FV1099" s="8"/>
      <c r="FW1099" s="8"/>
      <c r="FX1099" s="8"/>
      <c r="FY1099" s="8"/>
      <c r="FZ1099" s="8"/>
      <c r="GA1099" s="8"/>
      <c r="GB1099" s="8"/>
      <c r="GC1099" s="8"/>
      <c r="GD1099" s="8"/>
      <c r="GE1099" s="8"/>
      <c r="GF1099" s="8"/>
      <c r="GG1099" s="8"/>
      <c r="GH1099" s="8"/>
      <c r="GI1099" s="8"/>
      <c r="GJ1099" s="8"/>
      <c r="GK1099" s="8"/>
      <c r="GL1099" s="8"/>
      <c r="GM1099" s="8"/>
      <c r="GN1099" s="8"/>
      <c r="GO1099" s="8"/>
      <c r="GP1099" s="8"/>
      <c r="GQ1099" s="8"/>
      <c r="GR1099" s="8"/>
      <c r="GS1099" s="8"/>
      <c r="GT1099" s="8"/>
      <c r="GU1099" s="8"/>
      <c r="GV1099" s="8"/>
      <c r="GW1099" s="8"/>
      <c r="GX1099" s="8"/>
      <c r="GY1099" s="8"/>
      <c r="GZ1099" s="8"/>
      <c r="HA1099" s="8"/>
      <c r="HB1099" s="8"/>
      <c r="HC1099" s="8"/>
      <c r="HD1099" s="8"/>
      <c r="HE1099" s="8"/>
      <c r="HF1099" s="8"/>
      <c r="HG1099" s="8"/>
      <c r="HH1099" s="8"/>
      <c r="HI1099" s="8"/>
      <c r="HJ1099" s="8"/>
      <c r="HK1099" s="8"/>
      <c r="HL1099" s="8"/>
      <c r="HM1099" s="8"/>
      <c r="HN1099" s="8"/>
      <c r="HO1099" s="8"/>
      <c r="HP1099" s="8"/>
      <c r="HQ1099" s="8"/>
      <c r="HR1099" s="8"/>
      <c r="HS1099" s="8"/>
      <c r="HT1099" s="8"/>
      <c r="HU1099" s="8"/>
      <c r="HV1099" s="8"/>
      <c r="HW1099" s="8"/>
      <c r="HX1099" s="8"/>
      <c r="HY1099" s="8"/>
      <c r="HZ1099" s="8"/>
      <c r="IA1099" s="8"/>
      <c r="IB1099" s="8"/>
      <c r="IC1099" s="8"/>
      <c r="ID1099" s="8"/>
      <c r="IE1099" s="8"/>
      <c r="IF1099" s="8"/>
    </row>
    <row r="1100" spans="1:240" ht="30" customHeight="1">
      <c r="A1100" s="5">
        <v>1098</v>
      </c>
      <c r="B1100" s="5"/>
      <c r="C1100" s="5"/>
      <c r="D1100" s="5" t="s">
        <v>68</v>
      </c>
      <c r="E1100" s="5" t="s">
        <v>48</v>
      </c>
      <c r="F1100" s="5" t="s">
        <v>48</v>
      </c>
      <c r="G1100" s="5" t="s">
        <v>48</v>
      </c>
      <c r="H1100" s="15">
        <f>1760*0.454</f>
        <v>799.04000000000008</v>
      </c>
      <c r="I1100" s="5" t="s">
        <v>13</v>
      </c>
      <c r="J1100" s="15">
        <f>(3*33)/4.4</f>
        <v>22.499999999999996</v>
      </c>
      <c r="K1100" s="15">
        <f t="shared" si="29"/>
        <v>5.5560000000000009</v>
      </c>
      <c r="L1100" s="5">
        <v>116.1</v>
      </c>
      <c r="M1100" s="5">
        <f>29.44-25.56</f>
        <v>3.8800000000000026</v>
      </c>
      <c r="N1100" s="5"/>
      <c r="O1100" s="15">
        <f>9600*1.6978</f>
        <v>16298.88</v>
      </c>
      <c r="P1100" s="5"/>
      <c r="Q1100" s="5"/>
      <c r="R1100" s="5">
        <v>1</v>
      </c>
      <c r="S1100" s="5"/>
      <c r="T1100" s="5"/>
      <c r="U1100" s="5"/>
      <c r="V1100" s="15">
        <f>2*0.7457</f>
        <v>1.4914000000000001</v>
      </c>
      <c r="W1100" s="5"/>
      <c r="X1100" s="5"/>
      <c r="Y1100" s="5" t="s">
        <v>48</v>
      </c>
      <c r="Z1100" s="5" t="s">
        <v>48</v>
      </c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16" t="s">
        <v>48</v>
      </c>
      <c r="AN1100" s="5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8"/>
      <c r="BS1100" s="8"/>
      <c r="BT1100" s="8"/>
      <c r="BU1100" s="8"/>
      <c r="BV1100" s="8"/>
      <c r="BW1100" s="8"/>
      <c r="BX1100" s="8"/>
      <c r="BY1100" s="8"/>
      <c r="BZ1100" s="8"/>
      <c r="CA1100" s="8"/>
      <c r="CB1100" s="8"/>
      <c r="CC1100" s="8"/>
      <c r="CD1100" s="8"/>
      <c r="CE1100" s="8"/>
      <c r="CF1100" s="8"/>
      <c r="CG1100" s="8"/>
      <c r="CH1100" s="8"/>
      <c r="CI1100" s="8"/>
      <c r="CJ1100" s="8"/>
      <c r="CK1100" s="8"/>
      <c r="CL1100" s="8"/>
      <c r="CM1100" s="8"/>
      <c r="CN1100" s="8"/>
      <c r="CO1100" s="8"/>
      <c r="CP1100" s="8"/>
      <c r="CQ1100" s="8"/>
      <c r="CR1100" s="8"/>
      <c r="CS1100" s="8"/>
      <c r="CT1100" s="8"/>
      <c r="CU1100" s="8"/>
      <c r="CV1100" s="8"/>
      <c r="CW1100" s="8"/>
      <c r="CX1100" s="8"/>
      <c r="CY1100" s="8"/>
      <c r="CZ1100" s="8"/>
      <c r="DA1100" s="8"/>
      <c r="DB1100" s="8"/>
      <c r="DC1100" s="8"/>
      <c r="DD1100" s="8"/>
      <c r="DE1100" s="8"/>
      <c r="DF1100" s="8"/>
      <c r="DG1100" s="8"/>
      <c r="DH1100" s="8"/>
      <c r="DI1100" s="8"/>
      <c r="DJ1100" s="8"/>
      <c r="DK1100" s="8"/>
      <c r="DL1100" s="8"/>
      <c r="DM1100" s="8"/>
      <c r="DN1100" s="8"/>
      <c r="DO1100" s="8"/>
      <c r="DP1100" s="8"/>
      <c r="DQ1100" s="8"/>
      <c r="DR1100" s="8"/>
      <c r="DS1100" s="8"/>
      <c r="DT1100" s="8"/>
      <c r="DU1100" s="8"/>
      <c r="DV1100" s="8"/>
      <c r="DW1100" s="8"/>
      <c r="DX1100" s="8"/>
      <c r="DY1100" s="8"/>
      <c r="DZ1100" s="8"/>
      <c r="EA1100" s="8"/>
      <c r="EB1100" s="8"/>
      <c r="EC1100" s="8"/>
      <c r="ED1100" s="8"/>
      <c r="EE1100" s="8"/>
      <c r="EF1100" s="8"/>
      <c r="EG1100" s="8"/>
      <c r="EH1100" s="8"/>
      <c r="EI1100" s="8"/>
      <c r="EJ1100" s="8"/>
      <c r="EK1100" s="8"/>
      <c r="EL1100" s="8"/>
      <c r="EM1100" s="8"/>
      <c r="EN1100" s="8"/>
      <c r="EO1100" s="8"/>
      <c r="EP1100" s="8"/>
      <c r="EQ1100" s="8"/>
      <c r="ER1100" s="8"/>
      <c r="ES1100" s="8"/>
      <c r="ET1100" s="8"/>
      <c r="EU1100" s="8"/>
      <c r="EV1100" s="8"/>
      <c r="EW1100" s="8"/>
      <c r="EX1100" s="8"/>
      <c r="EY1100" s="8"/>
      <c r="EZ1100" s="8"/>
      <c r="FA1100" s="8"/>
      <c r="FB1100" s="8"/>
      <c r="FC1100" s="8"/>
      <c r="FD1100" s="8"/>
      <c r="FE1100" s="8"/>
      <c r="FF1100" s="8"/>
      <c r="FG1100" s="8"/>
      <c r="FH1100" s="8"/>
      <c r="FI1100" s="8"/>
      <c r="FJ1100" s="8"/>
      <c r="FK1100" s="8"/>
      <c r="FL1100" s="8"/>
      <c r="FM1100" s="8"/>
      <c r="FN1100" s="8"/>
      <c r="FO1100" s="8"/>
      <c r="FP1100" s="8"/>
      <c r="FQ1100" s="8"/>
      <c r="FR1100" s="8"/>
      <c r="FS1100" s="8"/>
      <c r="FT1100" s="8"/>
      <c r="FU1100" s="8"/>
      <c r="FV1100" s="8"/>
      <c r="FW1100" s="8"/>
      <c r="FX1100" s="8"/>
      <c r="FY1100" s="8"/>
      <c r="FZ1100" s="8"/>
      <c r="GA1100" s="8"/>
      <c r="GB1100" s="8"/>
      <c r="GC1100" s="8"/>
      <c r="GD1100" s="8"/>
      <c r="GE1100" s="8"/>
      <c r="GF1100" s="8"/>
      <c r="GG1100" s="8"/>
      <c r="GH1100" s="8"/>
      <c r="GI1100" s="8"/>
      <c r="GJ1100" s="8"/>
      <c r="GK1100" s="8"/>
      <c r="GL1100" s="8"/>
      <c r="GM1100" s="8"/>
      <c r="GN1100" s="8"/>
      <c r="GO1100" s="8"/>
      <c r="GP1100" s="8"/>
      <c r="GQ1100" s="8"/>
      <c r="GR1100" s="8"/>
      <c r="GS1100" s="8"/>
      <c r="GT1100" s="8"/>
      <c r="GU1100" s="8"/>
      <c r="GV1100" s="8"/>
      <c r="GW1100" s="8"/>
      <c r="GX1100" s="8"/>
      <c r="GY1100" s="8"/>
      <c r="GZ1100" s="8"/>
      <c r="HA1100" s="8"/>
      <c r="HB1100" s="8"/>
      <c r="HC1100" s="8"/>
      <c r="HD1100" s="8"/>
      <c r="HE1100" s="8"/>
      <c r="HF1100" s="8"/>
      <c r="HG1100" s="8"/>
      <c r="HH1100" s="8"/>
      <c r="HI1100" s="8"/>
      <c r="HJ1100" s="8"/>
      <c r="HK1100" s="8"/>
      <c r="HL1100" s="8"/>
      <c r="HM1100" s="8"/>
      <c r="HN1100" s="8"/>
      <c r="HO1100" s="8"/>
      <c r="HP1100" s="8"/>
      <c r="HQ1100" s="8"/>
      <c r="HR1100" s="8"/>
      <c r="HS1100" s="8"/>
      <c r="HT1100" s="8"/>
      <c r="HU1100" s="8"/>
      <c r="HV1100" s="8"/>
      <c r="HW1100" s="8"/>
      <c r="HX1100" s="8"/>
      <c r="HY1100" s="8"/>
      <c r="HZ1100" s="8"/>
      <c r="IA1100" s="8"/>
      <c r="IB1100" s="8"/>
      <c r="IC1100" s="8"/>
      <c r="ID1100" s="8"/>
      <c r="IE1100" s="8"/>
      <c r="IF1100" s="8"/>
    </row>
    <row r="1101" spans="1:240" ht="30" customHeight="1">
      <c r="A1101" s="5">
        <v>1099</v>
      </c>
      <c r="B1101" s="5"/>
      <c r="C1101" s="5"/>
      <c r="D1101" s="5" t="s">
        <v>68</v>
      </c>
      <c r="E1101" s="5" t="s">
        <v>48</v>
      </c>
      <c r="F1101" s="5" t="s">
        <v>48</v>
      </c>
      <c r="G1101" s="5" t="s">
        <v>48</v>
      </c>
      <c r="H1101" s="15">
        <f>1840*0.454</f>
        <v>835.36</v>
      </c>
      <c r="I1101" s="5" t="s">
        <v>13</v>
      </c>
      <c r="J1101" s="15">
        <f>(3*37)/4.4</f>
        <v>25.227272727272727</v>
      </c>
      <c r="K1101" s="15">
        <f t="shared" si="29"/>
        <v>5.5560000000000009</v>
      </c>
      <c r="L1101" s="5">
        <v>130.1</v>
      </c>
      <c r="M1101" s="5">
        <f t="shared" ref="M1101:M1166" si="32">29.44-25.56</f>
        <v>3.8800000000000026</v>
      </c>
      <c r="N1101" s="5"/>
      <c r="O1101" s="15">
        <f>9500*1.6978</f>
        <v>16129.1</v>
      </c>
      <c r="P1101" s="5"/>
      <c r="Q1101" s="5"/>
      <c r="R1101" s="5">
        <v>1</v>
      </c>
      <c r="S1101" s="5"/>
      <c r="T1101" s="5"/>
      <c r="U1101" s="5"/>
      <c r="V1101" s="15">
        <f>2*0.7457</f>
        <v>1.4914000000000001</v>
      </c>
      <c r="W1101" s="5"/>
      <c r="X1101" s="5"/>
      <c r="Y1101" s="5" t="s">
        <v>48</v>
      </c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16" t="s">
        <v>48</v>
      </c>
      <c r="AN1101" s="5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8"/>
      <c r="BS1101" s="8"/>
      <c r="BT1101" s="8"/>
      <c r="BU1101" s="8"/>
      <c r="BV1101" s="8"/>
      <c r="BW1101" s="8"/>
      <c r="BX1101" s="8"/>
      <c r="BY1101" s="8"/>
      <c r="BZ1101" s="8"/>
      <c r="CA1101" s="8"/>
      <c r="CB1101" s="8"/>
      <c r="CC1101" s="8"/>
      <c r="CD1101" s="8"/>
      <c r="CE1101" s="8"/>
      <c r="CF1101" s="8"/>
      <c r="CG1101" s="8"/>
      <c r="CH1101" s="8"/>
      <c r="CI1101" s="8"/>
      <c r="CJ1101" s="8"/>
      <c r="CK1101" s="8"/>
      <c r="CL1101" s="8"/>
      <c r="CM1101" s="8"/>
      <c r="CN1101" s="8"/>
      <c r="CO1101" s="8"/>
      <c r="CP1101" s="8"/>
      <c r="CQ1101" s="8"/>
      <c r="CR1101" s="8"/>
      <c r="CS1101" s="8"/>
      <c r="CT1101" s="8"/>
      <c r="CU1101" s="8"/>
      <c r="CV1101" s="8"/>
      <c r="CW1101" s="8"/>
      <c r="CX1101" s="8"/>
      <c r="CY1101" s="8"/>
      <c r="CZ1101" s="8"/>
      <c r="DA1101" s="8"/>
      <c r="DB1101" s="8"/>
      <c r="DC1101" s="8"/>
      <c r="DD1101" s="8"/>
      <c r="DE1101" s="8"/>
      <c r="DF1101" s="8"/>
      <c r="DG1101" s="8"/>
      <c r="DH1101" s="8"/>
      <c r="DI1101" s="8"/>
      <c r="DJ1101" s="8"/>
      <c r="DK1101" s="8"/>
      <c r="DL1101" s="8"/>
      <c r="DM1101" s="8"/>
      <c r="DN1101" s="8"/>
      <c r="DO1101" s="8"/>
      <c r="DP1101" s="8"/>
      <c r="DQ1101" s="8"/>
      <c r="DR1101" s="8"/>
      <c r="DS1101" s="8"/>
      <c r="DT1101" s="8"/>
      <c r="DU1101" s="8"/>
      <c r="DV1101" s="8"/>
      <c r="DW1101" s="8"/>
      <c r="DX1101" s="8"/>
      <c r="DY1101" s="8"/>
      <c r="DZ1101" s="8"/>
      <c r="EA1101" s="8"/>
      <c r="EB1101" s="8"/>
      <c r="EC1101" s="8"/>
      <c r="ED1101" s="8"/>
      <c r="EE1101" s="8"/>
      <c r="EF1101" s="8"/>
      <c r="EG1101" s="8"/>
      <c r="EH1101" s="8"/>
      <c r="EI1101" s="8"/>
      <c r="EJ1101" s="8"/>
      <c r="EK1101" s="8"/>
      <c r="EL1101" s="8"/>
      <c r="EM1101" s="8"/>
      <c r="EN1101" s="8"/>
      <c r="EO1101" s="8"/>
      <c r="EP1101" s="8"/>
      <c r="EQ1101" s="8"/>
      <c r="ER1101" s="8"/>
      <c r="ES1101" s="8"/>
      <c r="ET1101" s="8"/>
      <c r="EU1101" s="8"/>
      <c r="EV1101" s="8"/>
      <c r="EW1101" s="8"/>
      <c r="EX1101" s="8"/>
      <c r="EY1101" s="8"/>
      <c r="EZ1101" s="8"/>
      <c r="FA1101" s="8"/>
      <c r="FB1101" s="8"/>
      <c r="FC1101" s="8"/>
      <c r="FD1101" s="8"/>
      <c r="FE1101" s="8"/>
      <c r="FF1101" s="8"/>
      <c r="FG1101" s="8"/>
      <c r="FH1101" s="8"/>
      <c r="FI1101" s="8"/>
      <c r="FJ1101" s="8"/>
      <c r="FK1101" s="8"/>
      <c r="FL1101" s="8"/>
      <c r="FM1101" s="8"/>
      <c r="FN1101" s="8"/>
      <c r="FO1101" s="8"/>
      <c r="FP1101" s="8"/>
      <c r="FQ1101" s="8"/>
      <c r="FR1101" s="8"/>
      <c r="FS1101" s="8"/>
      <c r="FT1101" s="8"/>
      <c r="FU1101" s="8"/>
      <c r="FV1101" s="8"/>
      <c r="FW1101" s="8"/>
      <c r="FX1101" s="8"/>
      <c r="FY1101" s="8"/>
      <c r="FZ1101" s="8"/>
      <c r="GA1101" s="8"/>
      <c r="GB1101" s="8"/>
      <c r="GC1101" s="8"/>
      <c r="GD1101" s="8"/>
      <c r="GE1101" s="8"/>
      <c r="GF1101" s="8"/>
      <c r="GG1101" s="8"/>
      <c r="GH1101" s="8"/>
      <c r="GI1101" s="8"/>
      <c r="GJ1101" s="8"/>
      <c r="GK1101" s="8"/>
      <c r="GL1101" s="8"/>
      <c r="GM1101" s="8"/>
      <c r="GN1101" s="8"/>
      <c r="GO1101" s="8"/>
      <c r="GP1101" s="8"/>
      <c r="GQ1101" s="8"/>
      <c r="GR1101" s="8"/>
      <c r="GS1101" s="8"/>
      <c r="GT1101" s="8"/>
      <c r="GU1101" s="8"/>
      <c r="GV1101" s="8"/>
      <c r="GW1101" s="8"/>
      <c r="GX1101" s="8"/>
      <c r="GY1101" s="8"/>
      <c r="GZ1101" s="8"/>
      <c r="HA1101" s="8"/>
      <c r="HB1101" s="8"/>
      <c r="HC1101" s="8"/>
      <c r="HD1101" s="8"/>
      <c r="HE1101" s="8"/>
      <c r="HF1101" s="8"/>
      <c r="HG1101" s="8"/>
      <c r="HH1101" s="8"/>
      <c r="HI1101" s="8"/>
      <c r="HJ1101" s="8"/>
      <c r="HK1101" s="8"/>
      <c r="HL1101" s="8"/>
      <c r="HM1101" s="8"/>
      <c r="HN1101" s="8"/>
      <c r="HO1101" s="8"/>
      <c r="HP1101" s="8"/>
      <c r="HQ1101" s="8"/>
      <c r="HR1101" s="8"/>
      <c r="HS1101" s="8"/>
      <c r="HT1101" s="8"/>
      <c r="HU1101" s="8"/>
      <c r="HV1101" s="8"/>
      <c r="HW1101" s="8"/>
      <c r="HX1101" s="8"/>
      <c r="HY1101" s="8"/>
      <c r="HZ1101" s="8"/>
      <c r="IA1101" s="8"/>
      <c r="IB1101" s="8"/>
      <c r="IC1101" s="8"/>
      <c r="ID1101" s="8"/>
      <c r="IE1101" s="8"/>
      <c r="IF1101" s="8"/>
    </row>
    <row r="1102" spans="1:240" ht="30" customHeight="1">
      <c r="A1102" s="5">
        <v>1100</v>
      </c>
      <c r="B1102" s="5"/>
      <c r="C1102" s="5"/>
      <c r="D1102" s="5" t="s">
        <v>68</v>
      </c>
      <c r="E1102" s="5" t="s">
        <v>48</v>
      </c>
      <c r="F1102" s="5" t="s">
        <v>48</v>
      </c>
      <c r="G1102" s="5" t="s">
        <v>48</v>
      </c>
      <c r="H1102" s="15">
        <f>1810*0.454</f>
        <v>821.74</v>
      </c>
      <c r="I1102" s="5" t="s">
        <v>13</v>
      </c>
      <c r="J1102" s="15">
        <f>(3*39)/4.4</f>
        <v>26.59090909090909</v>
      </c>
      <c r="K1102" s="15">
        <f t="shared" si="29"/>
        <v>5.5560000000000009</v>
      </c>
      <c r="L1102" s="5">
        <v>137.19999999999999</v>
      </c>
      <c r="M1102" s="5">
        <f t="shared" si="32"/>
        <v>3.8800000000000026</v>
      </c>
      <c r="N1102" s="5"/>
      <c r="O1102" s="15">
        <f>10900*1.6978</f>
        <v>18506.02</v>
      </c>
      <c r="P1102" s="5"/>
      <c r="Q1102" s="5"/>
      <c r="R1102" s="5">
        <v>1</v>
      </c>
      <c r="S1102" s="5"/>
      <c r="T1102" s="5"/>
      <c r="U1102" s="5"/>
      <c r="V1102" s="15">
        <f>3*0.7457</f>
        <v>2.2370999999999999</v>
      </c>
      <c r="W1102" s="5"/>
      <c r="X1102" s="5"/>
      <c r="Y1102" s="5" t="s">
        <v>48</v>
      </c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16" t="s">
        <v>48</v>
      </c>
      <c r="AN1102" s="5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8"/>
      <c r="BS1102" s="8"/>
      <c r="BT1102" s="8"/>
      <c r="BU1102" s="8"/>
      <c r="BV1102" s="8"/>
      <c r="BW1102" s="8"/>
      <c r="BX1102" s="8"/>
      <c r="BY1102" s="8"/>
      <c r="BZ1102" s="8"/>
      <c r="CA1102" s="8"/>
      <c r="CB1102" s="8"/>
      <c r="CC1102" s="8"/>
      <c r="CD1102" s="8"/>
      <c r="CE1102" s="8"/>
      <c r="CF1102" s="8"/>
      <c r="CG1102" s="8"/>
      <c r="CH1102" s="8"/>
      <c r="CI1102" s="8"/>
      <c r="CJ1102" s="8"/>
      <c r="CK1102" s="8"/>
      <c r="CL1102" s="8"/>
      <c r="CM1102" s="8"/>
      <c r="CN1102" s="8"/>
      <c r="CO1102" s="8"/>
      <c r="CP1102" s="8"/>
      <c r="CQ1102" s="8"/>
      <c r="CR1102" s="8"/>
      <c r="CS1102" s="8"/>
      <c r="CT1102" s="8"/>
      <c r="CU1102" s="8"/>
      <c r="CV1102" s="8"/>
      <c r="CW1102" s="8"/>
      <c r="CX1102" s="8"/>
      <c r="CY1102" s="8"/>
      <c r="CZ1102" s="8"/>
      <c r="DA1102" s="8"/>
      <c r="DB1102" s="8"/>
      <c r="DC1102" s="8"/>
      <c r="DD1102" s="8"/>
      <c r="DE1102" s="8"/>
      <c r="DF1102" s="8"/>
      <c r="DG1102" s="8"/>
      <c r="DH1102" s="8"/>
      <c r="DI1102" s="8"/>
      <c r="DJ1102" s="8"/>
      <c r="DK1102" s="8"/>
      <c r="DL1102" s="8"/>
      <c r="DM1102" s="8"/>
      <c r="DN1102" s="8"/>
      <c r="DO1102" s="8"/>
      <c r="DP1102" s="8"/>
      <c r="DQ1102" s="8"/>
      <c r="DR1102" s="8"/>
      <c r="DS1102" s="8"/>
      <c r="DT1102" s="8"/>
      <c r="DU1102" s="8"/>
      <c r="DV1102" s="8"/>
      <c r="DW1102" s="8"/>
      <c r="DX1102" s="8"/>
      <c r="DY1102" s="8"/>
      <c r="DZ1102" s="8"/>
      <c r="EA1102" s="8"/>
      <c r="EB1102" s="8"/>
      <c r="EC1102" s="8"/>
      <c r="ED1102" s="8"/>
      <c r="EE1102" s="8"/>
      <c r="EF1102" s="8"/>
      <c r="EG1102" s="8"/>
      <c r="EH1102" s="8"/>
      <c r="EI1102" s="8"/>
      <c r="EJ1102" s="8"/>
      <c r="EK1102" s="8"/>
      <c r="EL1102" s="8"/>
      <c r="EM1102" s="8"/>
      <c r="EN1102" s="8"/>
      <c r="EO1102" s="8"/>
      <c r="EP1102" s="8"/>
      <c r="EQ1102" s="8"/>
      <c r="ER1102" s="8"/>
      <c r="ES1102" s="8"/>
      <c r="ET1102" s="8"/>
      <c r="EU1102" s="8"/>
      <c r="EV1102" s="8"/>
      <c r="EW1102" s="8"/>
      <c r="EX1102" s="8"/>
      <c r="EY1102" s="8"/>
      <c r="EZ1102" s="8"/>
      <c r="FA1102" s="8"/>
      <c r="FB1102" s="8"/>
      <c r="FC1102" s="8"/>
      <c r="FD1102" s="8"/>
      <c r="FE1102" s="8"/>
      <c r="FF1102" s="8"/>
      <c r="FG1102" s="8"/>
      <c r="FH1102" s="8"/>
      <c r="FI1102" s="8"/>
      <c r="FJ1102" s="8"/>
      <c r="FK1102" s="8"/>
      <c r="FL1102" s="8"/>
      <c r="FM1102" s="8"/>
      <c r="FN1102" s="8"/>
      <c r="FO1102" s="8"/>
      <c r="FP1102" s="8"/>
      <c r="FQ1102" s="8"/>
      <c r="FR1102" s="8"/>
      <c r="FS1102" s="8"/>
      <c r="FT1102" s="8"/>
      <c r="FU1102" s="8"/>
      <c r="FV1102" s="8"/>
      <c r="FW1102" s="8"/>
      <c r="FX1102" s="8"/>
      <c r="FY1102" s="8"/>
      <c r="FZ1102" s="8"/>
      <c r="GA1102" s="8"/>
      <c r="GB1102" s="8"/>
      <c r="GC1102" s="8"/>
      <c r="GD1102" s="8"/>
      <c r="GE1102" s="8"/>
      <c r="GF1102" s="8"/>
      <c r="GG1102" s="8"/>
      <c r="GH1102" s="8"/>
      <c r="GI1102" s="8"/>
      <c r="GJ1102" s="8"/>
      <c r="GK1102" s="8"/>
      <c r="GL1102" s="8"/>
      <c r="GM1102" s="8"/>
      <c r="GN1102" s="8"/>
      <c r="GO1102" s="8"/>
      <c r="GP1102" s="8"/>
      <c r="GQ1102" s="8"/>
      <c r="GR1102" s="8"/>
      <c r="GS1102" s="8"/>
      <c r="GT1102" s="8"/>
      <c r="GU1102" s="8"/>
      <c r="GV1102" s="8"/>
      <c r="GW1102" s="8"/>
      <c r="GX1102" s="8"/>
      <c r="GY1102" s="8"/>
      <c r="GZ1102" s="8"/>
      <c r="HA1102" s="8"/>
      <c r="HB1102" s="8"/>
      <c r="HC1102" s="8"/>
      <c r="HD1102" s="8"/>
      <c r="HE1102" s="8"/>
      <c r="HF1102" s="8"/>
      <c r="HG1102" s="8"/>
      <c r="HH1102" s="8"/>
      <c r="HI1102" s="8"/>
      <c r="HJ1102" s="8"/>
      <c r="HK1102" s="8"/>
      <c r="HL1102" s="8"/>
      <c r="HM1102" s="8"/>
      <c r="HN1102" s="8"/>
      <c r="HO1102" s="8"/>
      <c r="HP1102" s="8"/>
      <c r="HQ1102" s="8"/>
      <c r="HR1102" s="8"/>
      <c r="HS1102" s="8"/>
      <c r="HT1102" s="8"/>
      <c r="HU1102" s="8"/>
      <c r="HV1102" s="8"/>
      <c r="HW1102" s="8"/>
      <c r="HX1102" s="8"/>
      <c r="HY1102" s="8"/>
      <c r="HZ1102" s="8"/>
      <c r="IA1102" s="8"/>
      <c r="IB1102" s="8"/>
      <c r="IC1102" s="8"/>
      <c r="ID1102" s="8"/>
      <c r="IE1102" s="8"/>
      <c r="IF1102" s="8"/>
    </row>
    <row r="1103" spans="1:240" ht="30" customHeight="1">
      <c r="A1103" s="5">
        <v>1101</v>
      </c>
      <c r="B1103" s="5"/>
      <c r="C1103" s="5"/>
      <c r="D1103" s="5" t="s">
        <v>68</v>
      </c>
      <c r="E1103" s="5" t="s">
        <v>48</v>
      </c>
      <c r="F1103" s="5" t="s">
        <v>48</v>
      </c>
      <c r="G1103" s="5" t="s">
        <v>48</v>
      </c>
      <c r="H1103" s="15">
        <f>1890*0.454</f>
        <v>858.06000000000006</v>
      </c>
      <c r="I1103" s="5" t="s">
        <v>13</v>
      </c>
      <c r="J1103" s="15">
        <f>(3*43)/4.4</f>
        <v>29.318181818181817</v>
      </c>
      <c r="K1103" s="15">
        <f t="shared" si="29"/>
        <v>5.5560000000000009</v>
      </c>
      <c r="L1103" s="5">
        <v>151.19999999999999</v>
      </c>
      <c r="M1103" s="5">
        <f t="shared" si="32"/>
        <v>3.8800000000000026</v>
      </c>
      <c r="N1103" s="5"/>
      <c r="O1103" s="15">
        <f>10700*1.6978</f>
        <v>18166.46</v>
      </c>
      <c r="P1103" s="5"/>
      <c r="Q1103" s="5"/>
      <c r="R1103" s="5">
        <v>1</v>
      </c>
      <c r="S1103" s="5"/>
      <c r="T1103" s="5"/>
      <c r="U1103" s="5"/>
      <c r="V1103" s="15">
        <f>3*0.7457</f>
        <v>2.2370999999999999</v>
      </c>
      <c r="W1103" s="5"/>
      <c r="X1103" s="5"/>
      <c r="Y1103" s="5" t="s">
        <v>48</v>
      </c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16" t="s">
        <v>48</v>
      </c>
      <c r="AN1103" s="5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8"/>
      <c r="BS1103" s="8"/>
      <c r="BT1103" s="8"/>
      <c r="BU1103" s="8"/>
      <c r="BV1103" s="8"/>
      <c r="BW1103" s="8"/>
      <c r="BX1103" s="8"/>
      <c r="BY1103" s="8"/>
      <c r="BZ1103" s="8"/>
      <c r="CA1103" s="8"/>
      <c r="CB1103" s="8"/>
      <c r="CC1103" s="8"/>
      <c r="CD1103" s="8"/>
      <c r="CE1103" s="8"/>
      <c r="CF1103" s="8"/>
      <c r="CG1103" s="8"/>
      <c r="CH1103" s="8"/>
      <c r="CI1103" s="8"/>
      <c r="CJ1103" s="8"/>
      <c r="CK1103" s="8"/>
      <c r="CL1103" s="8"/>
      <c r="CM1103" s="8"/>
      <c r="CN1103" s="8"/>
      <c r="CO1103" s="8"/>
      <c r="CP1103" s="8"/>
      <c r="CQ1103" s="8"/>
      <c r="CR1103" s="8"/>
      <c r="CS1103" s="8"/>
      <c r="CT1103" s="8"/>
      <c r="CU1103" s="8"/>
      <c r="CV1103" s="8"/>
      <c r="CW1103" s="8"/>
      <c r="CX1103" s="8"/>
      <c r="CY1103" s="8"/>
      <c r="CZ1103" s="8"/>
      <c r="DA1103" s="8"/>
      <c r="DB1103" s="8"/>
      <c r="DC1103" s="8"/>
      <c r="DD1103" s="8"/>
      <c r="DE1103" s="8"/>
      <c r="DF1103" s="8"/>
      <c r="DG1103" s="8"/>
      <c r="DH1103" s="8"/>
      <c r="DI1103" s="8"/>
      <c r="DJ1103" s="8"/>
      <c r="DK1103" s="8"/>
      <c r="DL1103" s="8"/>
      <c r="DM1103" s="8"/>
      <c r="DN1103" s="8"/>
      <c r="DO1103" s="8"/>
      <c r="DP1103" s="8"/>
      <c r="DQ1103" s="8"/>
      <c r="DR1103" s="8"/>
      <c r="DS1103" s="8"/>
      <c r="DT1103" s="8"/>
      <c r="DU1103" s="8"/>
      <c r="DV1103" s="8"/>
      <c r="DW1103" s="8"/>
      <c r="DX1103" s="8"/>
      <c r="DY1103" s="8"/>
      <c r="DZ1103" s="8"/>
      <c r="EA1103" s="8"/>
      <c r="EB1103" s="8"/>
      <c r="EC1103" s="8"/>
      <c r="ED1103" s="8"/>
      <c r="EE1103" s="8"/>
      <c r="EF1103" s="8"/>
      <c r="EG1103" s="8"/>
      <c r="EH1103" s="8"/>
      <c r="EI1103" s="8"/>
      <c r="EJ1103" s="8"/>
      <c r="EK1103" s="8"/>
      <c r="EL1103" s="8"/>
      <c r="EM1103" s="8"/>
      <c r="EN1103" s="8"/>
      <c r="EO1103" s="8"/>
      <c r="EP1103" s="8"/>
      <c r="EQ1103" s="8"/>
      <c r="ER1103" s="8"/>
      <c r="ES1103" s="8"/>
      <c r="ET1103" s="8"/>
      <c r="EU1103" s="8"/>
      <c r="EV1103" s="8"/>
      <c r="EW1103" s="8"/>
      <c r="EX1103" s="8"/>
      <c r="EY1103" s="8"/>
      <c r="EZ1103" s="8"/>
      <c r="FA1103" s="8"/>
      <c r="FB1103" s="8"/>
      <c r="FC1103" s="8"/>
      <c r="FD1103" s="8"/>
      <c r="FE1103" s="8"/>
      <c r="FF1103" s="8"/>
      <c r="FG1103" s="8"/>
      <c r="FH1103" s="8"/>
      <c r="FI1103" s="8"/>
      <c r="FJ1103" s="8"/>
      <c r="FK1103" s="8"/>
      <c r="FL1103" s="8"/>
      <c r="FM1103" s="8"/>
      <c r="FN1103" s="8"/>
      <c r="FO1103" s="8"/>
      <c r="FP1103" s="8"/>
      <c r="FQ1103" s="8"/>
      <c r="FR1103" s="8"/>
      <c r="FS1103" s="8"/>
      <c r="FT1103" s="8"/>
      <c r="FU1103" s="8"/>
      <c r="FV1103" s="8"/>
      <c r="FW1103" s="8"/>
      <c r="FX1103" s="8"/>
      <c r="FY1103" s="8"/>
      <c r="FZ1103" s="8"/>
      <c r="GA1103" s="8"/>
      <c r="GB1103" s="8"/>
      <c r="GC1103" s="8"/>
      <c r="GD1103" s="8"/>
      <c r="GE1103" s="8"/>
      <c r="GF1103" s="8"/>
      <c r="GG1103" s="8"/>
      <c r="GH1103" s="8"/>
      <c r="GI1103" s="8"/>
      <c r="GJ1103" s="8"/>
      <c r="GK1103" s="8"/>
      <c r="GL1103" s="8"/>
      <c r="GM1103" s="8"/>
      <c r="GN1103" s="8"/>
      <c r="GO1103" s="8"/>
      <c r="GP1103" s="8"/>
      <c r="GQ1103" s="8"/>
      <c r="GR1103" s="8"/>
      <c r="GS1103" s="8"/>
      <c r="GT1103" s="8"/>
      <c r="GU1103" s="8"/>
      <c r="GV1103" s="8"/>
      <c r="GW1103" s="8"/>
      <c r="GX1103" s="8"/>
      <c r="GY1103" s="8"/>
      <c r="GZ1103" s="8"/>
      <c r="HA1103" s="8"/>
      <c r="HB1103" s="8"/>
      <c r="HC1103" s="8"/>
      <c r="HD1103" s="8"/>
      <c r="HE1103" s="8"/>
      <c r="HF1103" s="8"/>
      <c r="HG1103" s="8"/>
      <c r="HH1103" s="8"/>
      <c r="HI1103" s="8"/>
      <c r="HJ1103" s="8"/>
      <c r="HK1103" s="8"/>
      <c r="HL1103" s="8"/>
      <c r="HM1103" s="8"/>
      <c r="HN1103" s="8"/>
      <c r="HO1103" s="8"/>
      <c r="HP1103" s="8"/>
      <c r="HQ1103" s="8"/>
      <c r="HR1103" s="8"/>
      <c r="HS1103" s="8"/>
      <c r="HT1103" s="8"/>
      <c r="HU1103" s="8"/>
      <c r="HV1103" s="8"/>
      <c r="HW1103" s="8"/>
      <c r="HX1103" s="8"/>
      <c r="HY1103" s="8"/>
      <c r="HZ1103" s="8"/>
      <c r="IA1103" s="8"/>
      <c r="IB1103" s="8"/>
      <c r="IC1103" s="8"/>
      <c r="ID1103" s="8"/>
      <c r="IE1103" s="8"/>
      <c r="IF1103" s="8"/>
    </row>
    <row r="1104" spans="1:240" ht="30" customHeight="1">
      <c r="A1104" s="5">
        <v>1102</v>
      </c>
      <c r="B1104" s="5"/>
      <c r="C1104" s="5"/>
      <c r="D1104" s="5" t="s">
        <v>68</v>
      </c>
      <c r="E1104" s="5" t="s">
        <v>48</v>
      </c>
      <c r="F1104" s="5" t="s">
        <v>48</v>
      </c>
      <c r="G1104" s="5" t="s">
        <v>48</v>
      </c>
      <c r="H1104" s="15">
        <f>2460*0.454</f>
        <v>1116.8400000000001</v>
      </c>
      <c r="I1104" s="5" t="s">
        <v>13</v>
      </c>
      <c r="J1104" s="15">
        <f>(3*57)/4.4</f>
        <v>38.86363636363636</v>
      </c>
      <c r="K1104" s="15">
        <f t="shared" si="29"/>
        <v>5.5560000000000009</v>
      </c>
      <c r="L1104" s="5">
        <v>200.5</v>
      </c>
      <c r="M1104" s="5">
        <f t="shared" si="32"/>
        <v>3.8800000000000026</v>
      </c>
      <c r="N1104" s="5"/>
      <c r="O1104" s="15">
        <f>15300*1.6978</f>
        <v>25976.34</v>
      </c>
      <c r="P1104" s="5"/>
      <c r="Q1104" s="5"/>
      <c r="R1104" s="5">
        <v>1</v>
      </c>
      <c r="S1104" s="5"/>
      <c r="T1104" s="5"/>
      <c r="U1104" s="5"/>
      <c r="V1104" s="15">
        <f>3*0.7457</f>
        <v>2.2370999999999999</v>
      </c>
      <c r="W1104" s="5"/>
      <c r="X1104" s="5"/>
      <c r="Y1104" s="5" t="s">
        <v>48</v>
      </c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16" t="s">
        <v>48</v>
      </c>
      <c r="AN1104" s="5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8"/>
      <c r="BS1104" s="8"/>
      <c r="BT1104" s="8"/>
      <c r="BU1104" s="8"/>
      <c r="BV1104" s="8"/>
      <c r="BW1104" s="8"/>
      <c r="BX1104" s="8"/>
      <c r="BY1104" s="8"/>
      <c r="BZ1104" s="8"/>
      <c r="CA1104" s="8"/>
      <c r="CB1104" s="8"/>
      <c r="CC1104" s="8"/>
      <c r="CD1104" s="8"/>
      <c r="CE1104" s="8"/>
      <c r="CF1104" s="8"/>
      <c r="CG1104" s="8"/>
      <c r="CH1104" s="8"/>
      <c r="CI1104" s="8"/>
      <c r="CJ1104" s="8"/>
      <c r="CK1104" s="8"/>
      <c r="CL1104" s="8"/>
      <c r="CM1104" s="8"/>
      <c r="CN1104" s="8"/>
      <c r="CO1104" s="8"/>
      <c r="CP1104" s="8"/>
      <c r="CQ1104" s="8"/>
      <c r="CR1104" s="8"/>
      <c r="CS1104" s="8"/>
      <c r="CT1104" s="8"/>
      <c r="CU1104" s="8"/>
      <c r="CV1104" s="8"/>
      <c r="CW1104" s="8"/>
      <c r="CX1104" s="8"/>
      <c r="CY1104" s="8"/>
      <c r="CZ1104" s="8"/>
      <c r="DA1104" s="8"/>
      <c r="DB1104" s="8"/>
      <c r="DC1104" s="8"/>
      <c r="DD1104" s="8"/>
      <c r="DE1104" s="8"/>
      <c r="DF1104" s="8"/>
      <c r="DG1104" s="8"/>
      <c r="DH1104" s="8"/>
      <c r="DI1104" s="8"/>
      <c r="DJ1104" s="8"/>
      <c r="DK1104" s="8"/>
      <c r="DL1104" s="8"/>
      <c r="DM1104" s="8"/>
      <c r="DN1104" s="8"/>
      <c r="DO1104" s="8"/>
      <c r="DP1104" s="8"/>
      <c r="DQ1104" s="8"/>
      <c r="DR1104" s="8"/>
      <c r="DS1104" s="8"/>
      <c r="DT1104" s="8"/>
      <c r="DU1104" s="8"/>
      <c r="DV1104" s="8"/>
      <c r="DW1104" s="8"/>
      <c r="DX1104" s="8"/>
      <c r="DY1104" s="8"/>
      <c r="DZ1104" s="8"/>
      <c r="EA1104" s="8"/>
      <c r="EB1104" s="8"/>
      <c r="EC1104" s="8"/>
      <c r="ED1104" s="8"/>
      <c r="EE1104" s="8"/>
      <c r="EF1104" s="8"/>
      <c r="EG1104" s="8"/>
      <c r="EH1104" s="8"/>
      <c r="EI1104" s="8"/>
      <c r="EJ1104" s="8"/>
      <c r="EK1104" s="8"/>
      <c r="EL1104" s="8"/>
      <c r="EM1104" s="8"/>
      <c r="EN1104" s="8"/>
      <c r="EO1104" s="8"/>
      <c r="EP1104" s="8"/>
      <c r="EQ1104" s="8"/>
      <c r="ER1104" s="8"/>
      <c r="ES1104" s="8"/>
      <c r="ET1104" s="8"/>
      <c r="EU1104" s="8"/>
      <c r="EV1104" s="8"/>
      <c r="EW1104" s="8"/>
      <c r="EX1104" s="8"/>
      <c r="EY1104" s="8"/>
      <c r="EZ1104" s="8"/>
      <c r="FA1104" s="8"/>
      <c r="FB1104" s="8"/>
      <c r="FC1104" s="8"/>
      <c r="FD1104" s="8"/>
      <c r="FE1104" s="8"/>
      <c r="FF1104" s="8"/>
      <c r="FG1104" s="8"/>
      <c r="FH1104" s="8"/>
      <c r="FI1104" s="8"/>
      <c r="FJ1104" s="8"/>
      <c r="FK1104" s="8"/>
      <c r="FL1104" s="8"/>
      <c r="FM1104" s="8"/>
      <c r="FN1104" s="8"/>
      <c r="FO1104" s="8"/>
      <c r="FP1104" s="8"/>
      <c r="FQ1104" s="8"/>
      <c r="FR1104" s="8"/>
      <c r="FS1104" s="8"/>
      <c r="FT1104" s="8"/>
      <c r="FU1104" s="8"/>
      <c r="FV1104" s="8"/>
      <c r="FW1104" s="8"/>
      <c r="FX1104" s="8"/>
      <c r="FY1104" s="8"/>
      <c r="FZ1104" s="8"/>
      <c r="GA1104" s="8"/>
      <c r="GB1104" s="8"/>
      <c r="GC1104" s="8"/>
      <c r="GD1104" s="8"/>
      <c r="GE1104" s="8"/>
      <c r="GF1104" s="8"/>
      <c r="GG1104" s="8"/>
      <c r="GH1104" s="8"/>
      <c r="GI1104" s="8"/>
      <c r="GJ1104" s="8"/>
      <c r="GK1104" s="8"/>
      <c r="GL1104" s="8"/>
      <c r="GM1104" s="8"/>
      <c r="GN1104" s="8"/>
      <c r="GO1104" s="8"/>
      <c r="GP1104" s="8"/>
      <c r="GQ1104" s="8"/>
      <c r="GR1104" s="8"/>
      <c r="GS1104" s="8"/>
      <c r="GT1104" s="8"/>
      <c r="GU1104" s="8"/>
      <c r="GV1104" s="8"/>
      <c r="GW1104" s="8"/>
      <c r="GX1104" s="8"/>
      <c r="GY1104" s="8"/>
      <c r="GZ1104" s="8"/>
      <c r="HA1104" s="8"/>
      <c r="HB1104" s="8"/>
      <c r="HC1104" s="8"/>
      <c r="HD1104" s="8"/>
      <c r="HE1104" s="8"/>
      <c r="HF1104" s="8"/>
      <c r="HG1104" s="8"/>
      <c r="HH1104" s="8"/>
      <c r="HI1104" s="8"/>
      <c r="HJ1104" s="8"/>
      <c r="HK1104" s="8"/>
      <c r="HL1104" s="8"/>
      <c r="HM1104" s="8"/>
      <c r="HN1104" s="8"/>
      <c r="HO1104" s="8"/>
      <c r="HP1104" s="8"/>
      <c r="HQ1104" s="8"/>
      <c r="HR1104" s="8"/>
      <c r="HS1104" s="8"/>
      <c r="HT1104" s="8"/>
      <c r="HU1104" s="8"/>
      <c r="HV1104" s="8"/>
      <c r="HW1104" s="8"/>
      <c r="HX1104" s="8"/>
      <c r="HY1104" s="8"/>
      <c r="HZ1104" s="8"/>
      <c r="IA1104" s="8"/>
      <c r="IB1104" s="8"/>
      <c r="IC1104" s="8"/>
      <c r="ID1104" s="8"/>
      <c r="IE1104" s="8"/>
      <c r="IF1104" s="8"/>
    </row>
    <row r="1105" spans="1:240" ht="30" customHeight="1">
      <c r="A1105" s="5">
        <v>1103</v>
      </c>
      <c r="B1105" s="5"/>
      <c r="C1105" s="5"/>
      <c r="D1105" s="5" t="s">
        <v>68</v>
      </c>
      <c r="E1105" s="5" t="s">
        <v>48</v>
      </c>
      <c r="F1105" s="5" t="s">
        <v>48</v>
      </c>
      <c r="G1105" s="5" t="s">
        <v>48</v>
      </c>
      <c r="H1105" s="15">
        <f>2560*0.454</f>
        <v>1162.24</v>
      </c>
      <c r="I1105" s="5" t="s">
        <v>13</v>
      </c>
      <c r="J1105" s="15">
        <f>(3*64)/4.4</f>
        <v>43.636363636363633</v>
      </c>
      <c r="K1105" s="15">
        <f t="shared" si="29"/>
        <v>5.5560000000000009</v>
      </c>
      <c r="L1105" s="5">
        <v>225.1</v>
      </c>
      <c r="M1105" s="5">
        <f t="shared" si="32"/>
        <v>3.8800000000000026</v>
      </c>
      <c r="N1105" s="5"/>
      <c r="O1105" s="15">
        <f>15100*1.6978</f>
        <v>25636.78</v>
      </c>
      <c r="P1105" s="5"/>
      <c r="Q1105" s="5"/>
      <c r="R1105" s="5">
        <v>1</v>
      </c>
      <c r="S1105" s="5"/>
      <c r="T1105" s="5"/>
      <c r="U1105" s="5"/>
      <c r="V1105" s="15">
        <f>3*0.7457</f>
        <v>2.2370999999999999</v>
      </c>
      <c r="W1105" s="5"/>
      <c r="X1105" s="5"/>
      <c r="Y1105" s="5" t="s">
        <v>48</v>
      </c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16" t="s">
        <v>48</v>
      </c>
      <c r="AN1105" s="5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8"/>
      <c r="BT1105" s="8"/>
      <c r="BU1105" s="8"/>
      <c r="BV1105" s="8"/>
      <c r="BW1105" s="8"/>
      <c r="BX1105" s="8"/>
      <c r="BY1105" s="8"/>
      <c r="BZ1105" s="8"/>
      <c r="CA1105" s="8"/>
      <c r="CB1105" s="8"/>
      <c r="CC1105" s="8"/>
      <c r="CD1105" s="8"/>
      <c r="CE1105" s="8"/>
      <c r="CF1105" s="8"/>
      <c r="CG1105" s="8"/>
      <c r="CH1105" s="8"/>
      <c r="CI1105" s="8"/>
      <c r="CJ1105" s="8"/>
      <c r="CK1105" s="8"/>
      <c r="CL1105" s="8"/>
      <c r="CM1105" s="8"/>
      <c r="CN1105" s="8"/>
      <c r="CO1105" s="8"/>
      <c r="CP1105" s="8"/>
      <c r="CQ1105" s="8"/>
      <c r="CR1105" s="8"/>
      <c r="CS1105" s="8"/>
      <c r="CT1105" s="8"/>
      <c r="CU1105" s="8"/>
      <c r="CV1105" s="8"/>
      <c r="CW1105" s="8"/>
      <c r="CX1105" s="8"/>
      <c r="CY1105" s="8"/>
      <c r="CZ1105" s="8"/>
      <c r="DA1105" s="8"/>
      <c r="DB1105" s="8"/>
      <c r="DC1105" s="8"/>
      <c r="DD1105" s="8"/>
      <c r="DE1105" s="8"/>
      <c r="DF1105" s="8"/>
      <c r="DG1105" s="8"/>
      <c r="DH1105" s="8"/>
      <c r="DI1105" s="8"/>
      <c r="DJ1105" s="8"/>
      <c r="DK1105" s="8"/>
      <c r="DL1105" s="8"/>
      <c r="DM1105" s="8"/>
      <c r="DN1105" s="8"/>
      <c r="DO1105" s="8"/>
      <c r="DP1105" s="8"/>
      <c r="DQ1105" s="8"/>
      <c r="DR1105" s="8"/>
      <c r="DS1105" s="8"/>
      <c r="DT1105" s="8"/>
      <c r="DU1105" s="8"/>
      <c r="DV1105" s="8"/>
      <c r="DW1105" s="8"/>
      <c r="DX1105" s="8"/>
      <c r="DY1105" s="8"/>
      <c r="DZ1105" s="8"/>
      <c r="EA1105" s="8"/>
      <c r="EB1105" s="8"/>
      <c r="EC1105" s="8"/>
      <c r="ED1105" s="8"/>
      <c r="EE1105" s="8"/>
      <c r="EF1105" s="8"/>
      <c r="EG1105" s="8"/>
      <c r="EH1105" s="8"/>
      <c r="EI1105" s="8"/>
      <c r="EJ1105" s="8"/>
      <c r="EK1105" s="8"/>
      <c r="EL1105" s="8"/>
      <c r="EM1105" s="8"/>
      <c r="EN1105" s="8"/>
      <c r="EO1105" s="8"/>
      <c r="EP1105" s="8"/>
      <c r="EQ1105" s="8"/>
      <c r="ER1105" s="8"/>
      <c r="ES1105" s="8"/>
      <c r="ET1105" s="8"/>
      <c r="EU1105" s="8"/>
      <c r="EV1105" s="8"/>
      <c r="EW1105" s="8"/>
      <c r="EX1105" s="8"/>
      <c r="EY1105" s="8"/>
      <c r="EZ1105" s="8"/>
      <c r="FA1105" s="8"/>
      <c r="FB1105" s="8"/>
      <c r="FC1105" s="8"/>
      <c r="FD1105" s="8"/>
      <c r="FE1105" s="8"/>
      <c r="FF1105" s="8"/>
      <c r="FG1105" s="8"/>
      <c r="FH1105" s="8"/>
      <c r="FI1105" s="8"/>
      <c r="FJ1105" s="8"/>
      <c r="FK1105" s="8"/>
      <c r="FL1105" s="8"/>
      <c r="FM1105" s="8"/>
      <c r="FN1105" s="8"/>
      <c r="FO1105" s="8"/>
      <c r="FP1105" s="8"/>
      <c r="FQ1105" s="8"/>
      <c r="FR1105" s="8"/>
      <c r="FS1105" s="8"/>
      <c r="FT1105" s="8"/>
      <c r="FU1105" s="8"/>
      <c r="FV1105" s="8"/>
      <c r="FW1105" s="8"/>
      <c r="FX1105" s="8"/>
      <c r="FY1105" s="8"/>
      <c r="FZ1105" s="8"/>
      <c r="GA1105" s="8"/>
      <c r="GB1105" s="8"/>
      <c r="GC1105" s="8"/>
      <c r="GD1105" s="8"/>
      <c r="GE1105" s="8"/>
      <c r="GF1105" s="8"/>
      <c r="GG1105" s="8"/>
      <c r="GH1105" s="8"/>
      <c r="GI1105" s="8"/>
      <c r="GJ1105" s="8"/>
      <c r="GK1105" s="8"/>
      <c r="GL1105" s="8"/>
      <c r="GM1105" s="8"/>
      <c r="GN1105" s="8"/>
      <c r="GO1105" s="8"/>
      <c r="GP1105" s="8"/>
      <c r="GQ1105" s="8"/>
      <c r="GR1105" s="8"/>
      <c r="GS1105" s="8"/>
      <c r="GT1105" s="8"/>
      <c r="GU1105" s="8"/>
      <c r="GV1105" s="8"/>
      <c r="GW1105" s="8"/>
      <c r="GX1105" s="8"/>
      <c r="GY1105" s="8"/>
      <c r="GZ1105" s="8"/>
      <c r="HA1105" s="8"/>
      <c r="HB1105" s="8"/>
      <c r="HC1105" s="8"/>
      <c r="HD1105" s="8"/>
      <c r="HE1105" s="8"/>
      <c r="HF1105" s="8"/>
      <c r="HG1105" s="8"/>
      <c r="HH1105" s="8"/>
      <c r="HI1105" s="8"/>
      <c r="HJ1105" s="8"/>
      <c r="HK1105" s="8"/>
      <c r="HL1105" s="8"/>
      <c r="HM1105" s="8"/>
      <c r="HN1105" s="8"/>
      <c r="HO1105" s="8"/>
      <c r="HP1105" s="8"/>
      <c r="HQ1105" s="8"/>
      <c r="HR1105" s="8"/>
      <c r="HS1105" s="8"/>
      <c r="HT1105" s="8"/>
      <c r="HU1105" s="8"/>
      <c r="HV1105" s="8"/>
      <c r="HW1105" s="8"/>
      <c r="HX1105" s="8"/>
      <c r="HY1105" s="8"/>
      <c r="HZ1105" s="8"/>
      <c r="IA1105" s="8"/>
      <c r="IB1105" s="8"/>
      <c r="IC1105" s="8"/>
      <c r="ID1105" s="8"/>
      <c r="IE1105" s="8"/>
      <c r="IF1105" s="8"/>
    </row>
    <row r="1106" spans="1:240" ht="30" customHeight="1">
      <c r="A1106" s="5">
        <v>1104</v>
      </c>
      <c r="B1106" s="5"/>
      <c r="C1106" s="5"/>
      <c r="D1106" s="5" t="s">
        <v>68</v>
      </c>
      <c r="E1106" s="5" t="s">
        <v>48</v>
      </c>
      <c r="F1106" s="5" t="s">
        <v>48</v>
      </c>
      <c r="G1106" s="5" t="s">
        <v>48</v>
      </c>
      <c r="H1106" s="15">
        <f>2480*0.454</f>
        <v>1125.92</v>
      </c>
      <c r="I1106" s="5" t="s">
        <v>13</v>
      </c>
      <c r="J1106" s="15">
        <f>(3*67)/4.4</f>
        <v>45.68181818181818</v>
      </c>
      <c r="K1106" s="15">
        <f t="shared" si="29"/>
        <v>5.5560000000000009</v>
      </c>
      <c r="L1106" s="5">
        <v>235.6</v>
      </c>
      <c r="M1106" s="5">
        <f t="shared" si="32"/>
        <v>3.8800000000000026</v>
      </c>
      <c r="N1106" s="5"/>
      <c r="O1106" s="15">
        <f>18000*1.6978</f>
        <v>30560.399999999998</v>
      </c>
      <c r="P1106" s="5"/>
      <c r="Q1106" s="5"/>
      <c r="R1106" s="5">
        <v>1</v>
      </c>
      <c r="S1106" s="5"/>
      <c r="T1106" s="5"/>
      <c r="U1106" s="5"/>
      <c r="V1106" s="15">
        <f>5*0.7457</f>
        <v>3.7285000000000004</v>
      </c>
      <c r="W1106" s="5"/>
      <c r="X1106" s="5"/>
      <c r="Y1106" s="5" t="s">
        <v>48</v>
      </c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16" t="s">
        <v>48</v>
      </c>
      <c r="AN1106" s="5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8"/>
      <c r="BT1106" s="8"/>
      <c r="BU1106" s="8"/>
      <c r="BV1106" s="8"/>
      <c r="BW1106" s="8"/>
      <c r="BX1106" s="8"/>
      <c r="BY1106" s="8"/>
      <c r="BZ1106" s="8"/>
      <c r="CA1106" s="8"/>
      <c r="CB1106" s="8"/>
      <c r="CC1106" s="8"/>
      <c r="CD1106" s="8"/>
      <c r="CE1106" s="8"/>
      <c r="CF1106" s="8"/>
      <c r="CG1106" s="8"/>
      <c r="CH1106" s="8"/>
      <c r="CI1106" s="8"/>
      <c r="CJ1106" s="8"/>
      <c r="CK1106" s="8"/>
      <c r="CL1106" s="8"/>
      <c r="CM1106" s="8"/>
      <c r="CN1106" s="8"/>
      <c r="CO1106" s="8"/>
      <c r="CP1106" s="8"/>
      <c r="CQ1106" s="8"/>
      <c r="CR1106" s="8"/>
      <c r="CS1106" s="8"/>
      <c r="CT1106" s="8"/>
      <c r="CU1106" s="8"/>
      <c r="CV1106" s="8"/>
      <c r="CW1106" s="8"/>
      <c r="CX1106" s="8"/>
      <c r="CY1106" s="8"/>
      <c r="CZ1106" s="8"/>
      <c r="DA1106" s="8"/>
      <c r="DB1106" s="8"/>
      <c r="DC1106" s="8"/>
      <c r="DD1106" s="8"/>
      <c r="DE1106" s="8"/>
      <c r="DF1106" s="8"/>
      <c r="DG1106" s="8"/>
      <c r="DH1106" s="8"/>
      <c r="DI1106" s="8"/>
      <c r="DJ1106" s="8"/>
      <c r="DK1106" s="8"/>
      <c r="DL1106" s="8"/>
      <c r="DM1106" s="8"/>
      <c r="DN1106" s="8"/>
      <c r="DO1106" s="8"/>
      <c r="DP1106" s="8"/>
      <c r="DQ1106" s="8"/>
      <c r="DR1106" s="8"/>
      <c r="DS1106" s="8"/>
      <c r="DT1106" s="8"/>
      <c r="DU1106" s="8"/>
      <c r="DV1106" s="8"/>
      <c r="DW1106" s="8"/>
      <c r="DX1106" s="8"/>
      <c r="DY1106" s="8"/>
      <c r="DZ1106" s="8"/>
      <c r="EA1106" s="8"/>
      <c r="EB1106" s="8"/>
      <c r="EC1106" s="8"/>
      <c r="ED1106" s="8"/>
      <c r="EE1106" s="8"/>
      <c r="EF1106" s="8"/>
      <c r="EG1106" s="8"/>
      <c r="EH1106" s="8"/>
      <c r="EI1106" s="8"/>
      <c r="EJ1106" s="8"/>
      <c r="EK1106" s="8"/>
      <c r="EL1106" s="8"/>
      <c r="EM1106" s="8"/>
      <c r="EN1106" s="8"/>
      <c r="EO1106" s="8"/>
      <c r="EP1106" s="8"/>
      <c r="EQ1106" s="8"/>
      <c r="ER1106" s="8"/>
      <c r="ES1106" s="8"/>
      <c r="ET1106" s="8"/>
      <c r="EU1106" s="8"/>
      <c r="EV1106" s="8"/>
      <c r="EW1106" s="8"/>
      <c r="EX1106" s="8"/>
      <c r="EY1106" s="8"/>
      <c r="EZ1106" s="8"/>
      <c r="FA1106" s="8"/>
      <c r="FB1106" s="8"/>
      <c r="FC1106" s="8"/>
      <c r="FD1106" s="8"/>
      <c r="FE1106" s="8"/>
      <c r="FF1106" s="8"/>
      <c r="FG1106" s="8"/>
      <c r="FH1106" s="8"/>
      <c r="FI1106" s="8"/>
      <c r="FJ1106" s="8"/>
      <c r="FK1106" s="8"/>
      <c r="FL1106" s="8"/>
      <c r="FM1106" s="8"/>
      <c r="FN1106" s="8"/>
      <c r="FO1106" s="8"/>
      <c r="FP1106" s="8"/>
      <c r="FQ1106" s="8"/>
      <c r="FR1106" s="8"/>
      <c r="FS1106" s="8"/>
      <c r="FT1106" s="8"/>
      <c r="FU1106" s="8"/>
      <c r="FV1106" s="8"/>
      <c r="FW1106" s="8"/>
      <c r="FX1106" s="8"/>
      <c r="FY1106" s="8"/>
      <c r="FZ1106" s="8"/>
      <c r="GA1106" s="8"/>
      <c r="GB1106" s="8"/>
      <c r="GC1106" s="8"/>
      <c r="GD1106" s="8"/>
      <c r="GE1106" s="8"/>
      <c r="GF1106" s="8"/>
      <c r="GG1106" s="8"/>
      <c r="GH1106" s="8"/>
      <c r="GI1106" s="8"/>
      <c r="GJ1106" s="8"/>
      <c r="GK1106" s="8"/>
      <c r="GL1106" s="8"/>
      <c r="GM1106" s="8"/>
      <c r="GN1106" s="8"/>
      <c r="GO1106" s="8"/>
      <c r="GP1106" s="8"/>
      <c r="GQ1106" s="8"/>
      <c r="GR1106" s="8"/>
      <c r="GS1106" s="8"/>
      <c r="GT1106" s="8"/>
      <c r="GU1106" s="8"/>
      <c r="GV1106" s="8"/>
      <c r="GW1106" s="8"/>
      <c r="GX1106" s="8"/>
      <c r="GY1106" s="8"/>
      <c r="GZ1106" s="8"/>
      <c r="HA1106" s="8"/>
      <c r="HB1106" s="8"/>
      <c r="HC1106" s="8"/>
      <c r="HD1106" s="8"/>
      <c r="HE1106" s="8"/>
      <c r="HF1106" s="8"/>
      <c r="HG1106" s="8"/>
      <c r="HH1106" s="8"/>
      <c r="HI1106" s="8"/>
      <c r="HJ1106" s="8"/>
      <c r="HK1106" s="8"/>
      <c r="HL1106" s="8"/>
      <c r="HM1106" s="8"/>
      <c r="HN1106" s="8"/>
      <c r="HO1106" s="8"/>
      <c r="HP1106" s="8"/>
      <c r="HQ1106" s="8"/>
      <c r="HR1106" s="8"/>
      <c r="HS1106" s="8"/>
      <c r="HT1106" s="8"/>
      <c r="HU1106" s="8"/>
      <c r="HV1106" s="8"/>
      <c r="HW1106" s="8"/>
      <c r="HX1106" s="8"/>
      <c r="HY1106" s="8"/>
      <c r="HZ1106" s="8"/>
      <c r="IA1106" s="8"/>
      <c r="IB1106" s="8"/>
      <c r="IC1106" s="8"/>
      <c r="ID1106" s="8"/>
      <c r="IE1106" s="8"/>
      <c r="IF1106" s="8"/>
    </row>
    <row r="1107" spans="1:240" ht="30" customHeight="1">
      <c r="A1107" s="5">
        <v>1105</v>
      </c>
      <c r="B1107" s="5"/>
      <c r="C1107" s="5"/>
      <c r="D1107" s="5" t="s">
        <v>68</v>
      </c>
      <c r="E1107" s="5" t="s">
        <v>48</v>
      </c>
      <c r="F1107" s="5" t="s">
        <v>48</v>
      </c>
      <c r="G1107" s="5" t="s">
        <v>48</v>
      </c>
      <c r="H1107" s="15">
        <f>2580*0.454</f>
        <v>1171.32</v>
      </c>
      <c r="I1107" s="5" t="s">
        <v>13</v>
      </c>
      <c r="J1107" s="15">
        <f>(3*74)/4.4</f>
        <v>50.454545454545453</v>
      </c>
      <c r="K1107" s="15">
        <f t="shared" si="29"/>
        <v>5.5560000000000009</v>
      </c>
      <c r="L1107" s="5">
        <v>260.2</v>
      </c>
      <c r="M1107" s="5">
        <f t="shared" si="32"/>
        <v>3.8800000000000026</v>
      </c>
      <c r="N1107" s="5"/>
      <c r="O1107" s="15">
        <f>17700*1.6978</f>
        <v>30051.06</v>
      </c>
      <c r="P1107" s="5"/>
      <c r="Q1107" s="5"/>
      <c r="R1107" s="5">
        <v>1</v>
      </c>
      <c r="S1107" s="5"/>
      <c r="T1107" s="5"/>
      <c r="U1107" s="5"/>
      <c r="V1107" s="15">
        <f>5*0.7457</f>
        <v>3.7285000000000004</v>
      </c>
      <c r="W1107" s="5"/>
      <c r="X1107" s="5"/>
      <c r="Y1107" s="5" t="s">
        <v>48</v>
      </c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16" t="s">
        <v>48</v>
      </c>
      <c r="AN1107" s="5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8"/>
      <c r="BT1107" s="8"/>
      <c r="BU1107" s="8"/>
      <c r="BV1107" s="8"/>
      <c r="BW1107" s="8"/>
      <c r="BX1107" s="8"/>
      <c r="BY1107" s="8"/>
      <c r="BZ1107" s="8"/>
      <c r="CA1107" s="8"/>
      <c r="CB1107" s="8"/>
      <c r="CC1107" s="8"/>
      <c r="CD1107" s="8"/>
      <c r="CE1107" s="8"/>
      <c r="CF1107" s="8"/>
      <c r="CG1107" s="8"/>
      <c r="CH1107" s="8"/>
      <c r="CI1107" s="8"/>
      <c r="CJ1107" s="8"/>
      <c r="CK1107" s="8"/>
      <c r="CL1107" s="8"/>
      <c r="CM1107" s="8"/>
      <c r="CN1107" s="8"/>
      <c r="CO1107" s="8"/>
      <c r="CP1107" s="8"/>
      <c r="CQ1107" s="8"/>
      <c r="CR1107" s="8"/>
      <c r="CS1107" s="8"/>
      <c r="CT1107" s="8"/>
      <c r="CU1107" s="8"/>
      <c r="CV1107" s="8"/>
      <c r="CW1107" s="8"/>
      <c r="CX1107" s="8"/>
      <c r="CY1107" s="8"/>
      <c r="CZ1107" s="8"/>
      <c r="DA1107" s="8"/>
      <c r="DB1107" s="8"/>
      <c r="DC1107" s="8"/>
      <c r="DD1107" s="8"/>
      <c r="DE1107" s="8"/>
      <c r="DF1107" s="8"/>
      <c r="DG1107" s="8"/>
      <c r="DH1107" s="8"/>
      <c r="DI1107" s="8"/>
      <c r="DJ1107" s="8"/>
      <c r="DK1107" s="8"/>
      <c r="DL1107" s="8"/>
      <c r="DM1107" s="8"/>
      <c r="DN1107" s="8"/>
      <c r="DO1107" s="8"/>
      <c r="DP1107" s="8"/>
      <c r="DQ1107" s="8"/>
      <c r="DR1107" s="8"/>
      <c r="DS1107" s="8"/>
      <c r="DT1107" s="8"/>
      <c r="DU1107" s="8"/>
      <c r="DV1107" s="8"/>
      <c r="DW1107" s="8"/>
      <c r="DX1107" s="8"/>
      <c r="DY1107" s="8"/>
      <c r="DZ1107" s="8"/>
      <c r="EA1107" s="8"/>
      <c r="EB1107" s="8"/>
      <c r="EC1107" s="8"/>
      <c r="ED1107" s="8"/>
      <c r="EE1107" s="8"/>
      <c r="EF1107" s="8"/>
      <c r="EG1107" s="8"/>
      <c r="EH1107" s="8"/>
      <c r="EI1107" s="8"/>
      <c r="EJ1107" s="8"/>
      <c r="EK1107" s="8"/>
      <c r="EL1107" s="8"/>
      <c r="EM1107" s="8"/>
      <c r="EN1107" s="8"/>
      <c r="EO1107" s="8"/>
      <c r="EP1107" s="8"/>
      <c r="EQ1107" s="8"/>
      <c r="ER1107" s="8"/>
      <c r="ES1107" s="8"/>
      <c r="ET1107" s="8"/>
      <c r="EU1107" s="8"/>
      <c r="EV1107" s="8"/>
      <c r="EW1107" s="8"/>
      <c r="EX1107" s="8"/>
      <c r="EY1107" s="8"/>
      <c r="EZ1107" s="8"/>
      <c r="FA1107" s="8"/>
      <c r="FB1107" s="8"/>
      <c r="FC1107" s="8"/>
      <c r="FD1107" s="8"/>
      <c r="FE1107" s="8"/>
      <c r="FF1107" s="8"/>
      <c r="FG1107" s="8"/>
      <c r="FH1107" s="8"/>
      <c r="FI1107" s="8"/>
      <c r="FJ1107" s="8"/>
      <c r="FK1107" s="8"/>
      <c r="FL1107" s="8"/>
      <c r="FM1107" s="8"/>
      <c r="FN1107" s="8"/>
      <c r="FO1107" s="8"/>
      <c r="FP1107" s="8"/>
      <c r="FQ1107" s="8"/>
      <c r="FR1107" s="8"/>
      <c r="FS1107" s="8"/>
      <c r="FT1107" s="8"/>
      <c r="FU1107" s="8"/>
      <c r="FV1107" s="8"/>
      <c r="FW1107" s="8"/>
      <c r="FX1107" s="8"/>
      <c r="FY1107" s="8"/>
      <c r="FZ1107" s="8"/>
      <c r="GA1107" s="8"/>
      <c r="GB1107" s="8"/>
      <c r="GC1107" s="8"/>
      <c r="GD1107" s="8"/>
      <c r="GE1107" s="8"/>
      <c r="GF1107" s="8"/>
      <c r="GG1107" s="8"/>
      <c r="GH1107" s="8"/>
      <c r="GI1107" s="8"/>
      <c r="GJ1107" s="8"/>
      <c r="GK1107" s="8"/>
      <c r="GL1107" s="8"/>
      <c r="GM1107" s="8"/>
      <c r="GN1107" s="8"/>
      <c r="GO1107" s="8"/>
      <c r="GP1107" s="8"/>
      <c r="GQ1107" s="8"/>
      <c r="GR1107" s="8"/>
      <c r="GS1107" s="8"/>
      <c r="GT1107" s="8"/>
      <c r="GU1107" s="8"/>
      <c r="GV1107" s="8"/>
      <c r="GW1107" s="8"/>
      <c r="GX1107" s="8"/>
      <c r="GY1107" s="8"/>
      <c r="GZ1107" s="8"/>
      <c r="HA1107" s="8"/>
      <c r="HB1107" s="8"/>
      <c r="HC1107" s="8"/>
      <c r="HD1107" s="8"/>
      <c r="HE1107" s="8"/>
      <c r="HF1107" s="8"/>
      <c r="HG1107" s="8"/>
      <c r="HH1107" s="8"/>
      <c r="HI1107" s="8"/>
      <c r="HJ1107" s="8"/>
      <c r="HK1107" s="8"/>
      <c r="HL1107" s="8"/>
      <c r="HM1107" s="8"/>
      <c r="HN1107" s="8"/>
      <c r="HO1107" s="8"/>
      <c r="HP1107" s="8"/>
      <c r="HQ1107" s="8"/>
      <c r="HR1107" s="8"/>
      <c r="HS1107" s="8"/>
      <c r="HT1107" s="8"/>
      <c r="HU1107" s="8"/>
      <c r="HV1107" s="8"/>
      <c r="HW1107" s="8"/>
      <c r="HX1107" s="8"/>
      <c r="HY1107" s="8"/>
      <c r="HZ1107" s="8"/>
      <c r="IA1107" s="8"/>
      <c r="IB1107" s="8"/>
      <c r="IC1107" s="8"/>
      <c r="ID1107" s="8"/>
      <c r="IE1107" s="8"/>
      <c r="IF1107" s="8"/>
    </row>
    <row r="1108" spans="1:240" ht="30" customHeight="1">
      <c r="A1108" s="5">
        <v>1106</v>
      </c>
      <c r="B1108" s="5"/>
      <c r="C1108" s="5"/>
      <c r="D1108" s="5" t="s">
        <v>68</v>
      </c>
      <c r="E1108" s="5" t="s">
        <v>48</v>
      </c>
      <c r="F1108" s="5" t="s">
        <v>48</v>
      </c>
      <c r="G1108" s="5" t="s">
        <v>48</v>
      </c>
      <c r="H1108" s="15">
        <f>3600*0.454</f>
        <v>1634.4</v>
      </c>
      <c r="I1108" s="5" t="s">
        <v>13</v>
      </c>
      <c r="J1108" s="15">
        <f>(3*76)/4.4</f>
        <v>51.818181818181813</v>
      </c>
      <c r="K1108" s="15">
        <f t="shared" si="29"/>
        <v>5.5560000000000009</v>
      </c>
      <c r="L1108" s="5">
        <v>267.3</v>
      </c>
      <c r="M1108" s="5">
        <f t="shared" si="32"/>
        <v>3.8800000000000026</v>
      </c>
      <c r="N1108" s="5"/>
      <c r="O1108" s="15">
        <f>21200*1.6978</f>
        <v>35993.360000000001</v>
      </c>
      <c r="P1108" s="5"/>
      <c r="Q1108" s="5"/>
      <c r="R1108" s="5">
        <v>2</v>
      </c>
      <c r="S1108" s="5"/>
      <c r="T1108" s="5"/>
      <c r="U1108" s="5"/>
      <c r="V1108" s="5">
        <f>2*R1108*0.7457</f>
        <v>2.9828000000000001</v>
      </c>
      <c r="W1108" s="5"/>
      <c r="X1108" s="5"/>
      <c r="Y1108" s="5" t="s">
        <v>48</v>
      </c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16" t="s">
        <v>48</v>
      </c>
      <c r="AN1108" s="5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  <c r="BY1108" s="8"/>
      <c r="BZ1108" s="8"/>
      <c r="CA1108" s="8"/>
      <c r="CB1108" s="8"/>
      <c r="CC1108" s="8"/>
      <c r="CD1108" s="8"/>
      <c r="CE1108" s="8"/>
      <c r="CF1108" s="8"/>
      <c r="CG1108" s="8"/>
      <c r="CH1108" s="8"/>
      <c r="CI1108" s="8"/>
      <c r="CJ1108" s="8"/>
      <c r="CK1108" s="8"/>
      <c r="CL1108" s="8"/>
      <c r="CM1108" s="8"/>
      <c r="CN1108" s="8"/>
      <c r="CO1108" s="8"/>
      <c r="CP1108" s="8"/>
      <c r="CQ1108" s="8"/>
      <c r="CR1108" s="8"/>
      <c r="CS1108" s="8"/>
      <c r="CT1108" s="8"/>
      <c r="CU1108" s="8"/>
      <c r="CV1108" s="8"/>
      <c r="CW1108" s="8"/>
      <c r="CX1108" s="8"/>
      <c r="CY1108" s="8"/>
      <c r="CZ1108" s="8"/>
      <c r="DA1108" s="8"/>
      <c r="DB1108" s="8"/>
      <c r="DC1108" s="8"/>
      <c r="DD1108" s="8"/>
      <c r="DE1108" s="8"/>
      <c r="DF1108" s="8"/>
      <c r="DG1108" s="8"/>
      <c r="DH1108" s="8"/>
      <c r="DI1108" s="8"/>
      <c r="DJ1108" s="8"/>
      <c r="DK1108" s="8"/>
      <c r="DL1108" s="8"/>
      <c r="DM1108" s="8"/>
      <c r="DN1108" s="8"/>
      <c r="DO1108" s="8"/>
      <c r="DP1108" s="8"/>
      <c r="DQ1108" s="8"/>
      <c r="DR1108" s="8"/>
      <c r="DS1108" s="8"/>
      <c r="DT1108" s="8"/>
      <c r="DU1108" s="8"/>
      <c r="DV1108" s="8"/>
      <c r="DW1108" s="8"/>
      <c r="DX1108" s="8"/>
      <c r="DY1108" s="8"/>
      <c r="DZ1108" s="8"/>
      <c r="EA1108" s="8"/>
      <c r="EB1108" s="8"/>
      <c r="EC1108" s="8"/>
      <c r="ED1108" s="8"/>
      <c r="EE1108" s="8"/>
      <c r="EF1108" s="8"/>
      <c r="EG1108" s="8"/>
      <c r="EH1108" s="8"/>
      <c r="EI1108" s="8"/>
      <c r="EJ1108" s="8"/>
      <c r="EK1108" s="8"/>
      <c r="EL1108" s="8"/>
      <c r="EM1108" s="8"/>
      <c r="EN1108" s="8"/>
      <c r="EO1108" s="8"/>
      <c r="EP1108" s="8"/>
      <c r="EQ1108" s="8"/>
      <c r="ER1108" s="8"/>
      <c r="ES1108" s="8"/>
      <c r="ET1108" s="8"/>
      <c r="EU1108" s="8"/>
      <c r="EV1108" s="8"/>
      <c r="EW1108" s="8"/>
      <c r="EX1108" s="8"/>
      <c r="EY1108" s="8"/>
      <c r="EZ1108" s="8"/>
      <c r="FA1108" s="8"/>
      <c r="FB1108" s="8"/>
      <c r="FC1108" s="8"/>
      <c r="FD1108" s="8"/>
      <c r="FE1108" s="8"/>
      <c r="FF1108" s="8"/>
      <c r="FG1108" s="8"/>
      <c r="FH1108" s="8"/>
      <c r="FI1108" s="8"/>
      <c r="FJ1108" s="8"/>
      <c r="FK1108" s="8"/>
      <c r="FL1108" s="8"/>
      <c r="FM1108" s="8"/>
      <c r="FN1108" s="8"/>
      <c r="FO1108" s="8"/>
      <c r="FP1108" s="8"/>
      <c r="FQ1108" s="8"/>
      <c r="FR1108" s="8"/>
      <c r="FS1108" s="8"/>
      <c r="FT1108" s="8"/>
      <c r="FU1108" s="8"/>
      <c r="FV1108" s="8"/>
      <c r="FW1108" s="8"/>
      <c r="FX1108" s="8"/>
      <c r="FY1108" s="8"/>
      <c r="FZ1108" s="8"/>
      <c r="GA1108" s="8"/>
      <c r="GB1108" s="8"/>
      <c r="GC1108" s="8"/>
      <c r="GD1108" s="8"/>
      <c r="GE1108" s="8"/>
      <c r="GF1108" s="8"/>
      <c r="GG1108" s="8"/>
      <c r="GH1108" s="8"/>
      <c r="GI1108" s="8"/>
      <c r="GJ1108" s="8"/>
      <c r="GK1108" s="8"/>
      <c r="GL1108" s="8"/>
      <c r="GM1108" s="8"/>
      <c r="GN1108" s="8"/>
      <c r="GO1108" s="8"/>
      <c r="GP1108" s="8"/>
      <c r="GQ1108" s="8"/>
      <c r="GR1108" s="8"/>
      <c r="GS1108" s="8"/>
      <c r="GT1108" s="8"/>
      <c r="GU1108" s="8"/>
      <c r="GV1108" s="8"/>
      <c r="GW1108" s="8"/>
      <c r="GX1108" s="8"/>
      <c r="GY1108" s="8"/>
      <c r="GZ1108" s="8"/>
      <c r="HA1108" s="8"/>
      <c r="HB1108" s="8"/>
      <c r="HC1108" s="8"/>
      <c r="HD1108" s="8"/>
      <c r="HE1108" s="8"/>
      <c r="HF1108" s="8"/>
      <c r="HG1108" s="8"/>
      <c r="HH1108" s="8"/>
      <c r="HI1108" s="8"/>
      <c r="HJ1108" s="8"/>
      <c r="HK1108" s="8"/>
      <c r="HL1108" s="8"/>
      <c r="HM1108" s="8"/>
      <c r="HN1108" s="8"/>
      <c r="HO1108" s="8"/>
      <c r="HP1108" s="8"/>
      <c r="HQ1108" s="8"/>
      <c r="HR1108" s="8"/>
      <c r="HS1108" s="8"/>
      <c r="HT1108" s="8"/>
      <c r="HU1108" s="8"/>
      <c r="HV1108" s="8"/>
      <c r="HW1108" s="8"/>
      <c r="HX1108" s="8"/>
      <c r="HY1108" s="8"/>
      <c r="HZ1108" s="8"/>
      <c r="IA1108" s="8"/>
      <c r="IB1108" s="8"/>
      <c r="IC1108" s="8"/>
      <c r="ID1108" s="8"/>
      <c r="IE1108" s="8"/>
      <c r="IF1108" s="8"/>
    </row>
    <row r="1109" spans="1:240" ht="30" customHeight="1">
      <c r="A1109" s="5">
        <v>1107</v>
      </c>
      <c r="B1109" s="5"/>
      <c r="C1109" s="5"/>
      <c r="D1109" s="5" t="s">
        <v>68</v>
      </c>
      <c r="E1109" s="5" t="s">
        <v>48</v>
      </c>
      <c r="F1109" s="5" t="s">
        <v>48</v>
      </c>
      <c r="G1109" s="5" t="s">
        <v>48</v>
      </c>
      <c r="H1109" s="15">
        <f>3760*0.454</f>
        <v>1707.04</v>
      </c>
      <c r="I1109" s="5" t="s">
        <v>13</v>
      </c>
      <c r="J1109" s="15">
        <f>(3*86)/4.4</f>
        <v>58.636363636363633</v>
      </c>
      <c r="K1109" s="15">
        <f t="shared" si="29"/>
        <v>5.5560000000000009</v>
      </c>
      <c r="L1109" s="5">
        <v>302.39999999999998</v>
      </c>
      <c r="M1109" s="5">
        <f t="shared" si="32"/>
        <v>3.8800000000000026</v>
      </c>
      <c r="N1109" s="5"/>
      <c r="O1109" s="15">
        <f>20800*1.6978</f>
        <v>35314.239999999998</v>
      </c>
      <c r="P1109" s="5"/>
      <c r="Q1109" s="5"/>
      <c r="R1109" s="5">
        <v>2</v>
      </c>
      <c r="S1109" s="5"/>
      <c r="T1109" s="5"/>
      <c r="U1109" s="5"/>
      <c r="V1109" s="5">
        <f>2*R1109*0.7457</f>
        <v>2.9828000000000001</v>
      </c>
      <c r="W1109" s="5"/>
      <c r="X1109" s="5"/>
      <c r="Y1109" s="5" t="s">
        <v>48</v>
      </c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16" t="s">
        <v>48</v>
      </c>
      <c r="AN1109" s="5"/>
      <c r="AO1109" s="8"/>
      <c r="AP1109" s="8"/>
      <c r="AQ1109" s="8"/>
      <c r="AR1109" s="8"/>
      <c r="AS1109" s="8"/>
      <c r="AT1109" s="8"/>
      <c r="AU1109" s="8"/>
      <c r="AV1109" s="8"/>
      <c r="AW1109" s="8"/>
      <c r="AX1109" s="8"/>
      <c r="AY1109" s="8"/>
      <c r="AZ1109" s="8"/>
      <c r="BA1109" s="8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8"/>
      <c r="BS1109" s="8"/>
      <c r="BT1109" s="8"/>
      <c r="BU1109" s="8"/>
      <c r="BV1109" s="8"/>
      <c r="BW1109" s="8"/>
      <c r="BX1109" s="8"/>
      <c r="BY1109" s="8"/>
      <c r="BZ1109" s="8"/>
      <c r="CA1109" s="8"/>
      <c r="CB1109" s="8"/>
      <c r="CC1109" s="8"/>
      <c r="CD1109" s="8"/>
      <c r="CE1109" s="8"/>
      <c r="CF1109" s="8"/>
      <c r="CG1109" s="8"/>
      <c r="CH1109" s="8"/>
      <c r="CI1109" s="8"/>
      <c r="CJ1109" s="8"/>
      <c r="CK1109" s="8"/>
      <c r="CL1109" s="8"/>
      <c r="CM1109" s="8"/>
      <c r="CN1109" s="8"/>
      <c r="CO1109" s="8"/>
      <c r="CP1109" s="8"/>
      <c r="CQ1109" s="8"/>
      <c r="CR1109" s="8"/>
      <c r="CS1109" s="8"/>
      <c r="CT1109" s="8"/>
      <c r="CU1109" s="8"/>
      <c r="CV1109" s="8"/>
      <c r="CW1109" s="8"/>
      <c r="CX1109" s="8"/>
      <c r="CY1109" s="8"/>
      <c r="CZ1109" s="8"/>
      <c r="DA1109" s="8"/>
      <c r="DB1109" s="8"/>
      <c r="DC1109" s="8"/>
      <c r="DD1109" s="8"/>
      <c r="DE1109" s="8"/>
      <c r="DF1109" s="8"/>
      <c r="DG1109" s="8"/>
      <c r="DH1109" s="8"/>
      <c r="DI1109" s="8"/>
      <c r="DJ1109" s="8"/>
      <c r="DK1109" s="8"/>
      <c r="DL1109" s="8"/>
      <c r="DM1109" s="8"/>
      <c r="DN1109" s="8"/>
      <c r="DO1109" s="8"/>
      <c r="DP1109" s="8"/>
      <c r="DQ1109" s="8"/>
      <c r="DR1109" s="8"/>
      <c r="DS1109" s="8"/>
      <c r="DT1109" s="8"/>
      <c r="DU1109" s="8"/>
      <c r="DV1109" s="8"/>
      <c r="DW1109" s="8"/>
      <c r="DX1109" s="8"/>
      <c r="DY1109" s="8"/>
      <c r="DZ1109" s="8"/>
      <c r="EA1109" s="8"/>
      <c r="EB1109" s="8"/>
      <c r="EC1109" s="8"/>
      <c r="ED1109" s="8"/>
      <c r="EE1109" s="8"/>
      <c r="EF1109" s="8"/>
      <c r="EG1109" s="8"/>
      <c r="EH1109" s="8"/>
      <c r="EI1109" s="8"/>
      <c r="EJ1109" s="8"/>
      <c r="EK1109" s="8"/>
      <c r="EL1109" s="8"/>
      <c r="EM1109" s="8"/>
      <c r="EN1109" s="8"/>
      <c r="EO1109" s="8"/>
      <c r="EP1109" s="8"/>
      <c r="EQ1109" s="8"/>
      <c r="ER1109" s="8"/>
      <c r="ES1109" s="8"/>
      <c r="ET1109" s="8"/>
      <c r="EU1109" s="8"/>
      <c r="EV1109" s="8"/>
      <c r="EW1109" s="8"/>
      <c r="EX1109" s="8"/>
      <c r="EY1109" s="8"/>
      <c r="EZ1109" s="8"/>
      <c r="FA1109" s="8"/>
      <c r="FB1109" s="8"/>
      <c r="FC1109" s="8"/>
      <c r="FD1109" s="8"/>
      <c r="FE1109" s="8"/>
      <c r="FF1109" s="8"/>
      <c r="FG1109" s="8"/>
      <c r="FH1109" s="8"/>
      <c r="FI1109" s="8"/>
      <c r="FJ1109" s="8"/>
      <c r="FK1109" s="8"/>
      <c r="FL1109" s="8"/>
      <c r="FM1109" s="8"/>
      <c r="FN1109" s="8"/>
      <c r="FO1109" s="8"/>
      <c r="FP1109" s="8"/>
      <c r="FQ1109" s="8"/>
      <c r="FR1109" s="8"/>
      <c r="FS1109" s="8"/>
      <c r="FT1109" s="8"/>
      <c r="FU1109" s="8"/>
      <c r="FV1109" s="8"/>
      <c r="FW1109" s="8"/>
      <c r="FX1109" s="8"/>
      <c r="FY1109" s="8"/>
      <c r="FZ1109" s="8"/>
      <c r="GA1109" s="8"/>
      <c r="GB1109" s="8"/>
      <c r="GC1109" s="8"/>
      <c r="GD1109" s="8"/>
      <c r="GE1109" s="8"/>
      <c r="GF1109" s="8"/>
      <c r="GG1109" s="8"/>
      <c r="GH1109" s="8"/>
      <c r="GI1109" s="8"/>
      <c r="GJ1109" s="8"/>
      <c r="GK1109" s="8"/>
      <c r="GL1109" s="8"/>
      <c r="GM1109" s="8"/>
      <c r="GN1109" s="8"/>
      <c r="GO1109" s="8"/>
      <c r="GP1109" s="8"/>
      <c r="GQ1109" s="8"/>
      <c r="GR1109" s="8"/>
      <c r="GS1109" s="8"/>
      <c r="GT1109" s="8"/>
      <c r="GU1109" s="8"/>
      <c r="GV1109" s="8"/>
      <c r="GW1109" s="8"/>
      <c r="GX1109" s="8"/>
      <c r="GY1109" s="8"/>
      <c r="GZ1109" s="8"/>
      <c r="HA1109" s="8"/>
      <c r="HB1109" s="8"/>
      <c r="HC1109" s="8"/>
      <c r="HD1109" s="8"/>
      <c r="HE1109" s="8"/>
      <c r="HF1109" s="8"/>
      <c r="HG1109" s="8"/>
      <c r="HH1109" s="8"/>
      <c r="HI1109" s="8"/>
      <c r="HJ1109" s="8"/>
      <c r="HK1109" s="8"/>
      <c r="HL1109" s="8"/>
      <c r="HM1109" s="8"/>
      <c r="HN1109" s="8"/>
      <c r="HO1109" s="8"/>
      <c r="HP1109" s="8"/>
      <c r="HQ1109" s="8"/>
      <c r="HR1109" s="8"/>
      <c r="HS1109" s="8"/>
      <c r="HT1109" s="8"/>
      <c r="HU1109" s="8"/>
      <c r="HV1109" s="8"/>
      <c r="HW1109" s="8"/>
      <c r="HX1109" s="8"/>
      <c r="HY1109" s="8"/>
      <c r="HZ1109" s="8"/>
      <c r="IA1109" s="8"/>
      <c r="IB1109" s="8"/>
      <c r="IC1109" s="8"/>
      <c r="ID1109" s="8"/>
      <c r="IE1109" s="8"/>
      <c r="IF1109" s="8"/>
    </row>
    <row r="1110" spans="1:240" ht="30" customHeight="1">
      <c r="A1110" s="5">
        <v>1108</v>
      </c>
      <c r="B1110" s="5"/>
      <c r="C1110" s="5"/>
      <c r="D1110" s="5" t="s">
        <v>68</v>
      </c>
      <c r="E1110" s="5" t="s">
        <v>48</v>
      </c>
      <c r="F1110" s="5" t="s">
        <v>48</v>
      </c>
      <c r="G1110" s="5" t="s">
        <v>48</v>
      </c>
      <c r="H1110" s="15">
        <f>3700*0.454</f>
        <v>1679.8</v>
      </c>
      <c r="I1110" s="5" t="s">
        <v>13</v>
      </c>
      <c r="J1110" s="15">
        <f>(3*90)/4.4</f>
        <v>61.36363636363636</v>
      </c>
      <c r="K1110" s="15">
        <f t="shared" ref="K1110:K1178" si="33">35-29.444</f>
        <v>5.5560000000000009</v>
      </c>
      <c r="L1110" s="5">
        <v>316.5</v>
      </c>
      <c r="M1110" s="5">
        <f t="shared" si="32"/>
        <v>3.8800000000000026</v>
      </c>
      <c r="N1110" s="5"/>
      <c r="O1110" s="15">
        <f>24100*1.6978</f>
        <v>40916.979999999996</v>
      </c>
      <c r="P1110" s="5"/>
      <c r="Q1110" s="5"/>
      <c r="R1110" s="5">
        <v>2</v>
      </c>
      <c r="S1110" s="5"/>
      <c r="T1110" s="5"/>
      <c r="U1110" s="5"/>
      <c r="V1110" s="5">
        <f>3*R1110*0.7457</f>
        <v>4.4741999999999997</v>
      </c>
      <c r="W1110" s="5"/>
      <c r="X1110" s="5"/>
      <c r="Y1110" s="5" t="s">
        <v>48</v>
      </c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16" t="s">
        <v>48</v>
      </c>
      <c r="AN1110" s="5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/>
      <c r="BV1110" s="8"/>
      <c r="BW1110" s="8"/>
      <c r="BX1110" s="8"/>
      <c r="BY1110" s="8"/>
      <c r="BZ1110" s="8"/>
      <c r="CA1110" s="8"/>
      <c r="CB1110" s="8"/>
      <c r="CC1110" s="8"/>
      <c r="CD1110" s="8"/>
      <c r="CE1110" s="8"/>
      <c r="CF1110" s="8"/>
      <c r="CG1110" s="8"/>
      <c r="CH1110" s="8"/>
      <c r="CI1110" s="8"/>
      <c r="CJ1110" s="8"/>
      <c r="CK1110" s="8"/>
      <c r="CL1110" s="8"/>
      <c r="CM1110" s="8"/>
      <c r="CN1110" s="8"/>
      <c r="CO1110" s="8"/>
      <c r="CP1110" s="8"/>
      <c r="CQ1110" s="8"/>
      <c r="CR1110" s="8"/>
      <c r="CS1110" s="8"/>
      <c r="CT1110" s="8"/>
      <c r="CU1110" s="8"/>
      <c r="CV1110" s="8"/>
      <c r="CW1110" s="8"/>
      <c r="CX1110" s="8"/>
      <c r="CY1110" s="8"/>
      <c r="CZ1110" s="8"/>
      <c r="DA1110" s="8"/>
      <c r="DB1110" s="8"/>
      <c r="DC1110" s="8"/>
      <c r="DD1110" s="8"/>
      <c r="DE1110" s="8"/>
      <c r="DF1110" s="8"/>
      <c r="DG1110" s="8"/>
      <c r="DH1110" s="8"/>
      <c r="DI1110" s="8"/>
      <c r="DJ1110" s="8"/>
      <c r="DK1110" s="8"/>
      <c r="DL1110" s="8"/>
      <c r="DM1110" s="8"/>
      <c r="DN1110" s="8"/>
      <c r="DO1110" s="8"/>
      <c r="DP1110" s="8"/>
      <c r="DQ1110" s="8"/>
      <c r="DR1110" s="8"/>
      <c r="DS1110" s="8"/>
      <c r="DT1110" s="8"/>
      <c r="DU1110" s="8"/>
      <c r="DV1110" s="8"/>
      <c r="DW1110" s="8"/>
      <c r="DX1110" s="8"/>
      <c r="DY1110" s="8"/>
      <c r="DZ1110" s="8"/>
      <c r="EA1110" s="8"/>
      <c r="EB1110" s="8"/>
      <c r="EC1110" s="8"/>
      <c r="ED1110" s="8"/>
      <c r="EE1110" s="8"/>
      <c r="EF1110" s="8"/>
      <c r="EG1110" s="8"/>
      <c r="EH1110" s="8"/>
      <c r="EI1110" s="8"/>
      <c r="EJ1110" s="8"/>
      <c r="EK1110" s="8"/>
      <c r="EL1110" s="8"/>
      <c r="EM1110" s="8"/>
      <c r="EN1110" s="8"/>
      <c r="EO1110" s="8"/>
      <c r="EP1110" s="8"/>
      <c r="EQ1110" s="8"/>
      <c r="ER1110" s="8"/>
      <c r="ES1110" s="8"/>
      <c r="ET1110" s="8"/>
      <c r="EU1110" s="8"/>
      <c r="EV1110" s="8"/>
      <c r="EW1110" s="8"/>
      <c r="EX1110" s="8"/>
      <c r="EY1110" s="8"/>
      <c r="EZ1110" s="8"/>
      <c r="FA1110" s="8"/>
      <c r="FB1110" s="8"/>
      <c r="FC1110" s="8"/>
      <c r="FD1110" s="8"/>
      <c r="FE1110" s="8"/>
      <c r="FF1110" s="8"/>
      <c r="FG1110" s="8"/>
      <c r="FH1110" s="8"/>
      <c r="FI1110" s="8"/>
      <c r="FJ1110" s="8"/>
      <c r="FK1110" s="8"/>
      <c r="FL1110" s="8"/>
      <c r="FM1110" s="8"/>
      <c r="FN1110" s="8"/>
      <c r="FO1110" s="8"/>
      <c r="FP1110" s="8"/>
      <c r="FQ1110" s="8"/>
      <c r="FR1110" s="8"/>
      <c r="FS1110" s="8"/>
      <c r="FT1110" s="8"/>
      <c r="FU1110" s="8"/>
      <c r="FV1110" s="8"/>
      <c r="FW1110" s="8"/>
      <c r="FX1110" s="8"/>
      <c r="FY1110" s="8"/>
      <c r="FZ1110" s="8"/>
      <c r="GA1110" s="8"/>
      <c r="GB1110" s="8"/>
      <c r="GC1110" s="8"/>
      <c r="GD1110" s="8"/>
      <c r="GE1110" s="8"/>
      <c r="GF1110" s="8"/>
      <c r="GG1110" s="8"/>
      <c r="GH1110" s="8"/>
      <c r="GI1110" s="8"/>
      <c r="GJ1110" s="8"/>
      <c r="GK1110" s="8"/>
      <c r="GL1110" s="8"/>
      <c r="GM1110" s="8"/>
      <c r="GN1110" s="8"/>
      <c r="GO1110" s="8"/>
      <c r="GP1110" s="8"/>
      <c r="GQ1110" s="8"/>
      <c r="GR1110" s="8"/>
      <c r="GS1110" s="8"/>
      <c r="GT1110" s="8"/>
      <c r="GU1110" s="8"/>
      <c r="GV1110" s="8"/>
      <c r="GW1110" s="8"/>
      <c r="GX1110" s="8"/>
      <c r="GY1110" s="8"/>
      <c r="GZ1110" s="8"/>
      <c r="HA1110" s="8"/>
      <c r="HB1110" s="8"/>
      <c r="HC1110" s="8"/>
      <c r="HD1110" s="8"/>
      <c r="HE1110" s="8"/>
      <c r="HF1110" s="8"/>
      <c r="HG1110" s="8"/>
      <c r="HH1110" s="8"/>
      <c r="HI1110" s="8"/>
      <c r="HJ1110" s="8"/>
      <c r="HK1110" s="8"/>
      <c r="HL1110" s="8"/>
      <c r="HM1110" s="8"/>
      <c r="HN1110" s="8"/>
      <c r="HO1110" s="8"/>
      <c r="HP1110" s="8"/>
      <c r="HQ1110" s="8"/>
      <c r="HR1110" s="8"/>
      <c r="HS1110" s="8"/>
      <c r="HT1110" s="8"/>
      <c r="HU1110" s="8"/>
      <c r="HV1110" s="8"/>
      <c r="HW1110" s="8"/>
      <c r="HX1110" s="8"/>
      <c r="HY1110" s="8"/>
      <c r="HZ1110" s="8"/>
      <c r="IA1110" s="8"/>
      <c r="IB1110" s="8"/>
      <c r="IC1110" s="8"/>
      <c r="ID1110" s="8"/>
      <c r="IE1110" s="8"/>
      <c r="IF1110" s="8"/>
    </row>
    <row r="1111" spans="1:240" ht="30" customHeight="1">
      <c r="A1111" s="5">
        <v>1109</v>
      </c>
      <c r="B1111" s="5"/>
      <c r="C1111" s="5"/>
      <c r="D1111" s="5" t="s">
        <v>68</v>
      </c>
      <c r="E1111" s="5" t="s">
        <v>48</v>
      </c>
      <c r="F1111" s="5" t="s">
        <v>48</v>
      </c>
      <c r="G1111" s="5" t="s">
        <v>48</v>
      </c>
      <c r="H1111" s="15">
        <f>3860*0.454</f>
        <v>1752.44</v>
      </c>
      <c r="I1111" s="5" t="s">
        <v>13</v>
      </c>
      <c r="J1111" s="15">
        <f>(3*100)/4.4</f>
        <v>68.181818181818173</v>
      </c>
      <c r="K1111" s="15">
        <f t="shared" si="33"/>
        <v>5.5560000000000009</v>
      </c>
      <c r="L1111" s="5">
        <v>351.7</v>
      </c>
      <c r="M1111" s="5">
        <f t="shared" si="32"/>
        <v>3.8800000000000026</v>
      </c>
      <c r="N1111" s="5"/>
      <c r="O1111" s="15">
        <f>23600*1.6978</f>
        <v>40068.080000000002</v>
      </c>
      <c r="P1111" s="5"/>
      <c r="Q1111" s="5"/>
      <c r="R1111" s="5">
        <v>2</v>
      </c>
      <c r="S1111" s="5"/>
      <c r="T1111" s="5"/>
      <c r="U1111" s="5"/>
      <c r="V1111" s="5">
        <f>3*R1111*0.7457</f>
        <v>4.4741999999999997</v>
      </c>
      <c r="W1111" s="5"/>
      <c r="X1111" s="5"/>
      <c r="Y1111" s="5" t="s">
        <v>48</v>
      </c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16" t="s">
        <v>48</v>
      </c>
      <c r="AN1111" s="5"/>
      <c r="AO1111" s="8"/>
      <c r="AP1111" s="8"/>
      <c r="AQ1111" s="8"/>
      <c r="AR1111" s="8"/>
      <c r="AS1111" s="8"/>
      <c r="AT1111" s="8"/>
      <c r="AU1111" s="8"/>
      <c r="AV1111" s="8"/>
      <c r="AW1111" s="8"/>
      <c r="AX1111" s="8"/>
      <c r="AY1111" s="8"/>
      <c r="AZ1111" s="8"/>
      <c r="BA1111" s="8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8"/>
      <c r="BS1111" s="8"/>
      <c r="BT1111" s="8"/>
      <c r="BU1111" s="8"/>
      <c r="BV1111" s="8"/>
      <c r="BW1111" s="8"/>
      <c r="BX1111" s="8"/>
      <c r="BY1111" s="8"/>
      <c r="BZ1111" s="8"/>
      <c r="CA1111" s="8"/>
      <c r="CB1111" s="8"/>
      <c r="CC1111" s="8"/>
      <c r="CD1111" s="8"/>
      <c r="CE1111" s="8"/>
      <c r="CF1111" s="8"/>
      <c r="CG1111" s="8"/>
      <c r="CH1111" s="8"/>
      <c r="CI1111" s="8"/>
      <c r="CJ1111" s="8"/>
      <c r="CK1111" s="8"/>
      <c r="CL1111" s="8"/>
      <c r="CM1111" s="8"/>
      <c r="CN1111" s="8"/>
      <c r="CO1111" s="8"/>
      <c r="CP1111" s="8"/>
      <c r="CQ1111" s="8"/>
      <c r="CR1111" s="8"/>
      <c r="CS1111" s="8"/>
      <c r="CT1111" s="8"/>
      <c r="CU1111" s="8"/>
      <c r="CV1111" s="8"/>
      <c r="CW1111" s="8"/>
      <c r="CX1111" s="8"/>
      <c r="CY1111" s="8"/>
      <c r="CZ1111" s="8"/>
      <c r="DA1111" s="8"/>
      <c r="DB1111" s="8"/>
      <c r="DC1111" s="8"/>
      <c r="DD1111" s="8"/>
      <c r="DE1111" s="8"/>
      <c r="DF1111" s="8"/>
      <c r="DG1111" s="8"/>
      <c r="DH1111" s="8"/>
      <c r="DI1111" s="8"/>
      <c r="DJ1111" s="8"/>
      <c r="DK1111" s="8"/>
      <c r="DL1111" s="8"/>
      <c r="DM1111" s="8"/>
      <c r="DN1111" s="8"/>
      <c r="DO1111" s="8"/>
      <c r="DP1111" s="8"/>
      <c r="DQ1111" s="8"/>
      <c r="DR1111" s="8"/>
      <c r="DS1111" s="8"/>
      <c r="DT1111" s="8"/>
      <c r="DU1111" s="8"/>
      <c r="DV1111" s="8"/>
      <c r="DW1111" s="8"/>
      <c r="DX1111" s="8"/>
      <c r="DY1111" s="8"/>
      <c r="DZ1111" s="8"/>
      <c r="EA1111" s="8"/>
      <c r="EB1111" s="8"/>
      <c r="EC1111" s="8"/>
      <c r="ED1111" s="8"/>
      <c r="EE1111" s="8"/>
      <c r="EF1111" s="8"/>
      <c r="EG1111" s="8"/>
      <c r="EH1111" s="8"/>
      <c r="EI1111" s="8"/>
      <c r="EJ1111" s="8"/>
      <c r="EK1111" s="8"/>
      <c r="EL1111" s="8"/>
      <c r="EM1111" s="8"/>
      <c r="EN1111" s="8"/>
      <c r="EO1111" s="8"/>
      <c r="EP1111" s="8"/>
      <c r="EQ1111" s="8"/>
      <c r="ER1111" s="8"/>
      <c r="ES1111" s="8"/>
      <c r="ET1111" s="8"/>
      <c r="EU1111" s="8"/>
      <c r="EV1111" s="8"/>
      <c r="EW1111" s="8"/>
      <c r="EX1111" s="8"/>
      <c r="EY1111" s="8"/>
      <c r="EZ1111" s="8"/>
      <c r="FA1111" s="8"/>
      <c r="FB1111" s="8"/>
      <c r="FC1111" s="8"/>
      <c r="FD1111" s="8"/>
      <c r="FE1111" s="8"/>
      <c r="FF1111" s="8"/>
      <c r="FG1111" s="8"/>
      <c r="FH1111" s="8"/>
      <c r="FI1111" s="8"/>
      <c r="FJ1111" s="8"/>
      <c r="FK1111" s="8"/>
      <c r="FL1111" s="8"/>
      <c r="FM1111" s="8"/>
      <c r="FN1111" s="8"/>
      <c r="FO1111" s="8"/>
      <c r="FP1111" s="8"/>
      <c r="FQ1111" s="8"/>
      <c r="FR1111" s="8"/>
      <c r="FS1111" s="8"/>
      <c r="FT1111" s="8"/>
      <c r="FU1111" s="8"/>
      <c r="FV1111" s="8"/>
      <c r="FW1111" s="8"/>
      <c r="FX1111" s="8"/>
      <c r="FY1111" s="8"/>
      <c r="FZ1111" s="8"/>
      <c r="GA1111" s="8"/>
      <c r="GB1111" s="8"/>
      <c r="GC1111" s="8"/>
      <c r="GD1111" s="8"/>
      <c r="GE1111" s="8"/>
      <c r="GF1111" s="8"/>
      <c r="GG1111" s="8"/>
      <c r="GH1111" s="8"/>
      <c r="GI1111" s="8"/>
      <c r="GJ1111" s="8"/>
      <c r="GK1111" s="8"/>
      <c r="GL1111" s="8"/>
      <c r="GM1111" s="8"/>
      <c r="GN1111" s="8"/>
      <c r="GO1111" s="8"/>
      <c r="GP1111" s="8"/>
      <c r="GQ1111" s="8"/>
      <c r="GR1111" s="8"/>
      <c r="GS1111" s="8"/>
      <c r="GT1111" s="8"/>
      <c r="GU1111" s="8"/>
      <c r="GV1111" s="8"/>
      <c r="GW1111" s="8"/>
      <c r="GX1111" s="8"/>
      <c r="GY1111" s="8"/>
      <c r="GZ1111" s="8"/>
      <c r="HA1111" s="8"/>
      <c r="HB1111" s="8"/>
      <c r="HC1111" s="8"/>
      <c r="HD1111" s="8"/>
      <c r="HE1111" s="8"/>
      <c r="HF1111" s="8"/>
      <c r="HG1111" s="8"/>
      <c r="HH1111" s="8"/>
      <c r="HI1111" s="8"/>
      <c r="HJ1111" s="8"/>
      <c r="HK1111" s="8"/>
      <c r="HL1111" s="8"/>
      <c r="HM1111" s="8"/>
      <c r="HN1111" s="8"/>
      <c r="HO1111" s="8"/>
      <c r="HP1111" s="8"/>
      <c r="HQ1111" s="8"/>
      <c r="HR1111" s="8"/>
      <c r="HS1111" s="8"/>
      <c r="HT1111" s="8"/>
      <c r="HU1111" s="8"/>
      <c r="HV1111" s="8"/>
      <c r="HW1111" s="8"/>
      <c r="HX1111" s="8"/>
      <c r="HY1111" s="8"/>
      <c r="HZ1111" s="8"/>
      <c r="IA1111" s="8"/>
      <c r="IB1111" s="8"/>
      <c r="IC1111" s="8"/>
      <c r="ID1111" s="8"/>
      <c r="IE1111" s="8"/>
      <c r="IF1111" s="8"/>
    </row>
    <row r="1112" spans="1:240" ht="30" customHeight="1">
      <c r="A1112" s="5">
        <v>1110</v>
      </c>
      <c r="B1112" s="5"/>
      <c r="C1112" s="5"/>
      <c r="D1112" s="5" t="s">
        <v>68</v>
      </c>
      <c r="E1112" s="5" t="s">
        <v>48</v>
      </c>
      <c r="F1112" s="5" t="s">
        <v>48</v>
      </c>
      <c r="G1112" s="5" t="s">
        <v>48</v>
      </c>
      <c r="H1112" s="15">
        <f>4700*0.454</f>
        <v>2133.8000000000002</v>
      </c>
      <c r="I1112" s="5" t="s">
        <v>13</v>
      </c>
      <c r="J1112" s="15">
        <f>(3*115)/4.4</f>
        <v>78.409090909090907</v>
      </c>
      <c r="K1112" s="15">
        <f t="shared" si="33"/>
        <v>5.5560000000000009</v>
      </c>
      <c r="L1112" s="5">
        <v>404.4</v>
      </c>
      <c r="M1112" s="5">
        <f t="shared" si="32"/>
        <v>3.8800000000000026</v>
      </c>
      <c r="N1112" s="5"/>
      <c r="O1112" s="15">
        <f>31000*1.6978</f>
        <v>52631.799999999996</v>
      </c>
      <c r="P1112" s="5"/>
      <c r="Q1112" s="5"/>
      <c r="R1112" s="5">
        <v>2</v>
      </c>
      <c r="S1112" s="5"/>
      <c r="T1112" s="5"/>
      <c r="U1112" s="5"/>
      <c r="V1112" s="5">
        <f>3*R1112*0.7457</f>
        <v>4.4741999999999997</v>
      </c>
      <c r="W1112" s="5"/>
      <c r="X1112" s="5"/>
      <c r="Y1112" s="5" t="s">
        <v>48</v>
      </c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16" t="s">
        <v>48</v>
      </c>
      <c r="AN1112" s="5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/>
      <c r="BX1112" s="8"/>
      <c r="BY1112" s="8"/>
      <c r="BZ1112" s="8"/>
      <c r="CA1112" s="8"/>
      <c r="CB1112" s="8"/>
      <c r="CC1112" s="8"/>
      <c r="CD1112" s="8"/>
      <c r="CE1112" s="8"/>
      <c r="CF1112" s="8"/>
      <c r="CG1112" s="8"/>
      <c r="CH1112" s="8"/>
      <c r="CI1112" s="8"/>
      <c r="CJ1112" s="8"/>
      <c r="CK1112" s="8"/>
      <c r="CL1112" s="8"/>
      <c r="CM1112" s="8"/>
      <c r="CN1112" s="8"/>
      <c r="CO1112" s="8"/>
      <c r="CP1112" s="8"/>
      <c r="CQ1112" s="8"/>
      <c r="CR1112" s="8"/>
      <c r="CS1112" s="8"/>
      <c r="CT1112" s="8"/>
      <c r="CU1112" s="8"/>
      <c r="CV1112" s="8"/>
      <c r="CW1112" s="8"/>
      <c r="CX1112" s="8"/>
      <c r="CY1112" s="8"/>
      <c r="CZ1112" s="8"/>
      <c r="DA1112" s="8"/>
      <c r="DB1112" s="8"/>
      <c r="DC1112" s="8"/>
      <c r="DD1112" s="8"/>
      <c r="DE1112" s="8"/>
      <c r="DF1112" s="8"/>
      <c r="DG1112" s="8"/>
      <c r="DH1112" s="8"/>
      <c r="DI1112" s="8"/>
      <c r="DJ1112" s="8"/>
      <c r="DK1112" s="8"/>
      <c r="DL1112" s="8"/>
      <c r="DM1112" s="8"/>
      <c r="DN1112" s="8"/>
      <c r="DO1112" s="8"/>
      <c r="DP1112" s="8"/>
      <c r="DQ1112" s="8"/>
      <c r="DR1112" s="8"/>
      <c r="DS1112" s="8"/>
      <c r="DT1112" s="8"/>
      <c r="DU1112" s="8"/>
      <c r="DV1112" s="8"/>
      <c r="DW1112" s="8"/>
      <c r="DX1112" s="8"/>
      <c r="DY1112" s="8"/>
      <c r="DZ1112" s="8"/>
      <c r="EA1112" s="8"/>
      <c r="EB1112" s="8"/>
      <c r="EC1112" s="8"/>
      <c r="ED1112" s="8"/>
      <c r="EE1112" s="8"/>
      <c r="EF1112" s="8"/>
      <c r="EG1112" s="8"/>
      <c r="EH1112" s="8"/>
      <c r="EI1112" s="8"/>
      <c r="EJ1112" s="8"/>
      <c r="EK1112" s="8"/>
      <c r="EL1112" s="8"/>
      <c r="EM1112" s="8"/>
      <c r="EN1112" s="8"/>
      <c r="EO1112" s="8"/>
      <c r="EP1112" s="8"/>
      <c r="EQ1112" s="8"/>
      <c r="ER1112" s="8"/>
      <c r="ES1112" s="8"/>
      <c r="ET1112" s="8"/>
      <c r="EU1112" s="8"/>
      <c r="EV1112" s="8"/>
      <c r="EW1112" s="8"/>
      <c r="EX1112" s="8"/>
      <c r="EY1112" s="8"/>
      <c r="EZ1112" s="8"/>
      <c r="FA1112" s="8"/>
      <c r="FB1112" s="8"/>
      <c r="FC1112" s="8"/>
      <c r="FD1112" s="8"/>
      <c r="FE1112" s="8"/>
      <c r="FF1112" s="8"/>
      <c r="FG1112" s="8"/>
      <c r="FH1112" s="8"/>
      <c r="FI1112" s="8"/>
      <c r="FJ1112" s="8"/>
      <c r="FK1112" s="8"/>
      <c r="FL1112" s="8"/>
      <c r="FM1112" s="8"/>
      <c r="FN1112" s="8"/>
      <c r="FO1112" s="8"/>
      <c r="FP1112" s="8"/>
      <c r="FQ1112" s="8"/>
      <c r="FR1112" s="8"/>
      <c r="FS1112" s="8"/>
      <c r="FT1112" s="8"/>
      <c r="FU1112" s="8"/>
      <c r="FV1112" s="8"/>
      <c r="FW1112" s="8"/>
      <c r="FX1112" s="8"/>
      <c r="FY1112" s="8"/>
      <c r="FZ1112" s="8"/>
      <c r="GA1112" s="8"/>
      <c r="GB1112" s="8"/>
      <c r="GC1112" s="8"/>
      <c r="GD1112" s="8"/>
      <c r="GE1112" s="8"/>
      <c r="GF1112" s="8"/>
      <c r="GG1112" s="8"/>
      <c r="GH1112" s="8"/>
      <c r="GI1112" s="8"/>
      <c r="GJ1112" s="8"/>
      <c r="GK1112" s="8"/>
      <c r="GL1112" s="8"/>
      <c r="GM1112" s="8"/>
      <c r="GN1112" s="8"/>
      <c r="GO1112" s="8"/>
      <c r="GP1112" s="8"/>
      <c r="GQ1112" s="8"/>
      <c r="GR1112" s="8"/>
      <c r="GS1112" s="8"/>
      <c r="GT1112" s="8"/>
      <c r="GU1112" s="8"/>
      <c r="GV1112" s="8"/>
      <c r="GW1112" s="8"/>
      <c r="GX1112" s="8"/>
      <c r="GY1112" s="8"/>
      <c r="GZ1112" s="8"/>
      <c r="HA1112" s="8"/>
      <c r="HB1112" s="8"/>
      <c r="HC1112" s="8"/>
      <c r="HD1112" s="8"/>
      <c r="HE1112" s="8"/>
      <c r="HF1112" s="8"/>
      <c r="HG1112" s="8"/>
      <c r="HH1112" s="8"/>
      <c r="HI1112" s="8"/>
      <c r="HJ1112" s="8"/>
      <c r="HK1112" s="8"/>
      <c r="HL1112" s="8"/>
      <c r="HM1112" s="8"/>
      <c r="HN1112" s="8"/>
      <c r="HO1112" s="8"/>
      <c r="HP1112" s="8"/>
      <c r="HQ1112" s="8"/>
      <c r="HR1112" s="8"/>
      <c r="HS1112" s="8"/>
      <c r="HT1112" s="8"/>
      <c r="HU1112" s="8"/>
      <c r="HV1112" s="8"/>
      <c r="HW1112" s="8"/>
      <c r="HX1112" s="8"/>
      <c r="HY1112" s="8"/>
      <c r="HZ1112" s="8"/>
      <c r="IA1112" s="8"/>
      <c r="IB1112" s="8"/>
      <c r="IC1112" s="8"/>
      <c r="ID1112" s="8"/>
      <c r="IE1112" s="8"/>
      <c r="IF1112" s="8"/>
    </row>
    <row r="1113" spans="1:240" ht="30" customHeight="1">
      <c r="A1113" s="5">
        <v>1111</v>
      </c>
      <c r="B1113" s="5"/>
      <c r="C1113" s="5"/>
      <c r="D1113" s="5" t="s">
        <v>68</v>
      </c>
      <c r="E1113" s="5" t="s">
        <v>48</v>
      </c>
      <c r="F1113" s="5" t="s">
        <v>48</v>
      </c>
      <c r="G1113" s="5" t="s">
        <v>48</v>
      </c>
      <c r="H1113" s="15">
        <f>4900*0.454</f>
        <v>2224.6</v>
      </c>
      <c r="I1113" s="5" t="s">
        <v>13</v>
      </c>
      <c r="J1113" s="15">
        <f>(3*129)/4.4</f>
        <v>87.954545454545453</v>
      </c>
      <c r="K1113" s="15">
        <f t="shared" si="33"/>
        <v>5.5560000000000009</v>
      </c>
      <c r="L1113" s="5">
        <v>453.7</v>
      </c>
      <c r="M1113" s="5">
        <f t="shared" si="32"/>
        <v>3.8800000000000026</v>
      </c>
      <c r="N1113" s="5"/>
      <c r="O1113" s="15">
        <f>30400*1.6978</f>
        <v>51613.120000000003</v>
      </c>
      <c r="P1113" s="5"/>
      <c r="Q1113" s="5"/>
      <c r="R1113" s="5">
        <v>2</v>
      </c>
      <c r="S1113" s="5"/>
      <c r="T1113" s="5"/>
      <c r="U1113" s="5"/>
      <c r="V1113" s="5">
        <f>3*R1113*0.7457</f>
        <v>4.4741999999999997</v>
      </c>
      <c r="W1113" s="5"/>
      <c r="X1113" s="5"/>
      <c r="Y1113" s="5" t="s">
        <v>48</v>
      </c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16" t="s">
        <v>48</v>
      </c>
      <c r="AN1113" s="5"/>
      <c r="AO1113" s="8"/>
      <c r="AP1113" s="8"/>
      <c r="AQ1113" s="8"/>
      <c r="AR1113" s="8"/>
      <c r="AS1113" s="8"/>
      <c r="AT1113" s="8"/>
      <c r="AU1113" s="8"/>
      <c r="AV1113" s="8"/>
      <c r="AW1113" s="8"/>
      <c r="AX1113" s="8"/>
      <c r="AY1113" s="8"/>
      <c r="AZ1113" s="8"/>
      <c r="BA1113" s="8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8"/>
      <c r="BS1113" s="8"/>
      <c r="BT1113" s="8"/>
      <c r="BU1113" s="8"/>
      <c r="BV1113" s="8"/>
      <c r="BW1113" s="8"/>
      <c r="BX1113" s="8"/>
      <c r="BY1113" s="8"/>
      <c r="BZ1113" s="8"/>
      <c r="CA1113" s="8"/>
      <c r="CB1113" s="8"/>
      <c r="CC1113" s="8"/>
      <c r="CD1113" s="8"/>
      <c r="CE1113" s="8"/>
      <c r="CF1113" s="8"/>
      <c r="CG1113" s="8"/>
      <c r="CH1113" s="8"/>
      <c r="CI1113" s="8"/>
      <c r="CJ1113" s="8"/>
      <c r="CK1113" s="8"/>
      <c r="CL1113" s="8"/>
      <c r="CM1113" s="8"/>
      <c r="CN1113" s="8"/>
      <c r="CO1113" s="8"/>
      <c r="CP1113" s="8"/>
      <c r="CQ1113" s="8"/>
      <c r="CR1113" s="8"/>
      <c r="CS1113" s="8"/>
      <c r="CT1113" s="8"/>
      <c r="CU1113" s="8"/>
      <c r="CV1113" s="8"/>
      <c r="CW1113" s="8"/>
      <c r="CX1113" s="8"/>
      <c r="CY1113" s="8"/>
      <c r="CZ1113" s="8"/>
      <c r="DA1113" s="8"/>
      <c r="DB1113" s="8"/>
      <c r="DC1113" s="8"/>
      <c r="DD1113" s="8"/>
      <c r="DE1113" s="8"/>
      <c r="DF1113" s="8"/>
      <c r="DG1113" s="8"/>
      <c r="DH1113" s="8"/>
      <c r="DI1113" s="8"/>
      <c r="DJ1113" s="8"/>
      <c r="DK1113" s="8"/>
      <c r="DL1113" s="8"/>
      <c r="DM1113" s="8"/>
      <c r="DN1113" s="8"/>
      <c r="DO1113" s="8"/>
      <c r="DP1113" s="8"/>
      <c r="DQ1113" s="8"/>
      <c r="DR1113" s="8"/>
      <c r="DS1113" s="8"/>
      <c r="DT1113" s="8"/>
      <c r="DU1113" s="8"/>
      <c r="DV1113" s="8"/>
      <c r="DW1113" s="8"/>
      <c r="DX1113" s="8"/>
      <c r="DY1113" s="8"/>
      <c r="DZ1113" s="8"/>
      <c r="EA1113" s="8"/>
      <c r="EB1113" s="8"/>
      <c r="EC1113" s="8"/>
      <c r="ED1113" s="8"/>
      <c r="EE1113" s="8"/>
      <c r="EF1113" s="8"/>
      <c r="EG1113" s="8"/>
      <c r="EH1113" s="8"/>
      <c r="EI1113" s="8"/>
      <c r="EJ1113" s="8"/>
      <c r="EK1113" s="8"/>
      <c r="EL1113" s="8"/>
      <c r="EM1113" s="8"/>
      <c r="EN1113" s="8"/>
      <c r="EO1113" s="8"/>
      <c r="EP1113" s="8"/>
      <c r="EQ1113" s="8"/>
      <c r="ER1113" s="8"/>
      <c r="ES1113" s="8"/>
      <c r="ET1113" s="8"/>
      <c r="EU1113" s="8"/>
      <c r="EV1113" s="8"/>
      <c r="EW1113" s="8"/>
      <c r="EX1113" s="8"/>
      <c r="EY1113" s="8"/>
      <c r="EZ1113" s="8"/>
      <c r="FA1113" s="8"/>
      <c r="FB1113" s="8"/>
      <c r="FC1113" s="8"/>
      <c r="FD1113" s="8"/>
      <c r="FE1113" s="8"/>
      <c r="FF1113" s="8"/>
      <c r="FG1113" s="8"/>
      <c r="FH1113" s="8"/>
      <c r="FI1113" s="8"/>
      <c r="FJ1113" s="8"/>
      <c r="FK1113" s="8"/>
      <c r="FL1113" s="8"/>
      <c r="FM1113" s="8"/>
      <c r="FN1113" s="8"/>
      <c r="FO1113" s="8"/>
      <c r="FP1113" s="8"/>
      <c r="FQ1113" s="8"/>
      <c r="FR1113" s="8"/>
      <c r="FS1113" s="8"/>
      <c r="FT1113" s="8"/>
      <c r="FU1113" s="8"/>
      <c r="FV1113" s="8"/>
      <c r="FW1113" s="8"/>
      <c r="FX1113" s="8"/>
      <c r="FY1113" s="8"/>
      <c r="FZ1113" s="8"/>
      <c r="GA1113" s="8"/>
      <c r="GB1113" s="8"/>
      <c r="GC1113" s="8"/>
      <c r="GD1113" s="8"/>
      <c r="GE1113" s="8"/>
      <c r="GF1113" s="8"/>
      <c r="GG1113" s="8"/>
      <c r="GH1113" s="8"/>
      <c r="GI1113" s="8"/>
      <c r="GJ1113" s="8"/>
      <c r="GK1113" s="8"/>
      <c r="GL1113" s="8"/>
      <c r="GM1113" s="8"/>
      <c r="GN1113" s="8"/>
      <c r="GO1113" s="8"/>
      <c r="GP1113" s="8"/>
      <c r="GQ1113" s="8"/>
      <c r="GR1113" s="8"/>
      <c r="GS1113" s="8"/>
      <c r="GT1113" s="8"/>
      <c r="GU1113" s="8"/>
      <c r="GV1113" s="8"/>
      <c r="GW1113" s="8"/>
      <c r="GX1113" s="8"/>
      <c r="GY1113" s="8"/>
      <c r="GZ1113" s="8"/>
      <c r="HA1113" s="8"/>
      <c r="HB1113" s="8"/>
      <c r="HC1113" s="8"/>
      <c r="HD1113" s="8"/>
      <c r="HE1113" s="8"/>
      <c r="HF1113" s="8"/>
      <c r="HG1113" s="8"/>
      <c r="HH1113" s="8"/>
      <c r="HI1113" s="8"/>
      <c r="HJ1113" s="8"/>
      <c r="HK1113" s="8"/>
      <c r="HL1113" s="8"/>
      <c r="HM1113" s="8"/>
      <c r="HN1113" s="8"/>
      <c r="HO1113" s="8"/>
      <c r="HP1113" s="8"/>
      <c r="HQ1113" s="8"/>
      <c r="HR1113" s="8"/>
      <c r="HS1113" s="8"/>
      <c r="HT1113" s="8"/>
      <c r="HU1113" s="8"/>
      <c r="HV1113" s="8"/>
      <c r="HW1113" s="8"/>
      <c r="HX1113" s="8"/>
      <c r="HY1113" s="8"/>
      <c r="HZ1113" s="8"/>
      <c r="IA1113" s="8"/>
      <c r="IB1113" s="8"/>
      <c r="IC1113" s="8"/>
      <c r="ID1113" s="8"/>
      <c r="IE1113" s="8"/>
      <c r="IF1113" s="8"/>
    </row>
    <row r="1114" spans="1:240" ht="30" customHeight="1">
      <c r="A1114" s="5">
        <v>1112</v>
      </c>
      <c r="B1114" s="5"/>
      <c r="C1114" s="5"/>
      <c r="D1114" s="5" t="s">
        <v>68</v>
      </c>
      <c r="E1114" s="5" t="s">
        <v>48</v>
      </c>
      <c r="F1114" s="5" t="s">
        <v>48</v>
      </c>
      <c r="G1114" s="5" t="s">
        <v>48</v>
      </c>
      <c r="H1114" s="15">
        <f>4740*0.454</f>
        <v>2151.96</v>
      </c>
      <c r="I1114" s="5" t="s">
        <v>13</v>
      </c>
      <c r="J1114" s="15">
        <f>(3*137)/4.4</f>
        <v>93.409090909090907</v>
      </c>
      <c r="K1114" s="15">
        <f t="shared" si="33"/>
        <v>5.5560000000000009</v>
      </c>
      <c r="L1114" s="5">
        <v>481.8</v>
      </c>
      <c r="M1114" s="5">
        <f t="shared" si="32"/>
        <v>3.8800000000000026</v>
      </c>
      <c r="N1114" s="5"/>
      <c r="O1114" s="15">
        <f>36400*1.6978</f>
        <v>61799.92</v>
      </c>
      <c r="P1114" s="5"/>
      <c r="Q1114" s="5"/>
      <c r="R1114" s="5">
        <v>2</v>
      </c>
      <c r="S1114" s="5"/>
      <c r="T1114" s="5"/>
      <c r="U1114" s="5"/>
      <c r="V1114" s="5">
        <f>5*R1114*0.7457</f>
        <v>7.4570000000000007</v>
      </c>
      <c r="W1114" s="5"/>
      <c r="X1114" s="5"/>
      <c r="Y1114" s="5" t="s">
        <v>48</v>
      </c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16" t="s">
        <v>48</v>
      </c>
      <c r="AN1114" s="5"/>
      <c r="AO1114" s="8"/>
      <c r="AP1114" s="8"/>
      <c r="AQ1114" s="8"/>
      <c r="AR1114" s="8"/>
      <c r="AS1114" s="8"/>
      <c r="AT1114" s="8"/>
      <c r="AU1114" s="8"/>
      <c r="AV1114" s="8"/>
      <c r="AW1114" s="8"/>
      <c r="AX1114" s="8"/>
      <c r="AY1114" s="8"/>
      <c r="AZ1114" s="8"/>
      <c r="BA1114" s="8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8"/>
      <c r="BS1114" s="8"/>
      <c r="BT1114" s="8"/>
      <c r="BU1114" s="8"/>
      <c r="BV1114" s="8"/>
      <c r="BW1114" s="8"/>
      <c r="BX1114" s="8"/>
      <c r="BY1114" s="8"/>
      <c r="BZ1114" s="8"/>
      <c r="CA1114" s="8"/>
      <c r="CB1114" s="8"/>
      <c r="CC1114" s="8"/>
      <c r="CD1114" s="8"/>
      <c r="CE1114" s="8"/>
      <c r="CF1114" s="8"/>
      <c r="CG1114" s="8"/>
      <c r="CH1114" s="8"/>
      <c r="CI1114" s="8"/>
      <c r="CJ1114" s="8"/>
      <c r="CK1114" s="8"/>
      <c r="CL1114" s="8"/>
      <c r="CM1114" s="8"/>
      <c r="CN1114" s="8"/>
      <c r="CO1114" s="8"/>
      <c r="CP1114" s="8"/>
      <c r="CQ1114" s="8"/>
      <c r="CR1114" s="8"/>
      <c r="CS1114" s="8"/>
      <c r="CT1114" s="8"/>
      <c r="CU1114" s="8"/>
      <c r="CV1114" s="8"/>
      <c r="CW1114" s="8"/>
      <c r="CX1114" s="8"/>
      <c r="CY1114" s="8"/>
      <c r="CZ1114" s="8"/>
      <c r="DA1114" s="8"/>
      <c r="DB1114" s="8"/>
      <c r="DC1114" s="8"/>
      <c r="DD1114" s="8"/>
      <c r="DE1114" s="8"/>
      <c r="DF1114" s="8"/>
      <c r="DG1114" s="8"/>
      <c r="DH1114" s="8"/>
      <c r="DI1114" s="8"/>
      <c r="DJ1114" s="8"/>
      <c r="DK1114" s="8"/>
      <c r="DL1114" s="8"/>
      <c r="DM1114" s="8"/>
      <c r="DN1114" s="8"/>
      <c r="DO1114" s="8"/>
      <c r="DP1114" s="8"/>
      <c r="DQ1114" s="8"/>
      <c r="DR1114" s="8"/>
      <c r="DS1114" s="8"/>
      <c r="DT1114" s="8"/>
      <c r="DU1114" s="8"/>
      <c r="DV1114" s="8"/>
      <c r="DW1114" s="8"/>
      <c r="DX1114" s="8"/>
      <c r="DY1114" s="8"/>
      <c r="DZ1114" s="8"/>
      <c r="EA1114" s="8"/>
      <c r="EB1114" s="8"/>
      <c r="EC1114" s="8"/>
      <c r="ED1114" s="8"/>
      <c r="EE1114" s="8"/>
      <c r="EF1114" s="8"/>
      <c r="EG1114" s="8"/>
      <c r="EH1114" s="8"/>
      <c r="EI1114" s="8"/>
      <c r="EJ1114" s="8"/>
      <c r="EK1114" s="8"/>
      <c r="EL1114" s="8"/>
      <c r="EM1114" s="8"/>
      <c r="EN1114" s="8"/>
      <c r="EO1114" s="8"/>
      <c r="EP1114" s="8"/>
      <c r="EQ1114" s="8"/>
      <c r="ER1114" s="8"/>
      <c r="ES1114" s="8"/>
      <c r="ET1114" s="8"/>
      <c r="EU1114" s="8"/>
      <c r="EV1114" s="8"/>
      <c r="EW1114" s="8"/>
      <c r="EX1114" s="8"/>
      <c r="EY1114" s="8"/>
      <c r="EZ1114" s="8"/>
      <c r="FA1114" s="8"/>
      <c r="FB1114" s="8"/>
      <c r="FC1114" s="8"/>
      <c r="FD1114" s="8"/>
      <c r="FE1114" s="8"/>
      <c r="FF1114" s="8"/>
      <c r="FG1114" s="8"/>
      <c r="FH1114" s="8"/>
      <c r="FI1114" s="8"/>
      <c r="FJ1114" s="8"/>
      <c r="FK1114" s="8"/>
      <c r="FL1114" s="8"/>
      <c r="FM1114" s="8"/>
      <c r="FN1114" s="8"/>
      <c r="FO1114" s="8"/>
      <c r="FP1114" s="8"/>
      <c r="FQ1114" s="8"/>
      <c r="FR1114" s="8"/>
      <c r="FS1114" s="8"/>
      <c r="FT1114" s="8"/>
      <c r="FU1114" s="8"/>
      <c r="FV1114" s="8"/>
      <c r="FW1114" s="8"/>
      <c r="FX1114" s="8"/>
      <c r="FY1114" s="8"/>
      <c r="FZ1114" s="8"/>
      <c r="GA1114" s="8"/>
      <c r="GB1114" s="8"/>
      <c r="GC1114" s="8"/>
      <c r="GD1114" s="8"/>
      <c r="GE1114" s="8"/>
      <c r="GF1114" s="8"/>
      <c r="GG1114" s="8"/>
      <c r="GH1114" s="8"/>
      <c r="GI1114" s="8"/>
      <c r="GJ1114" s="8"/>
      <c r="GK1114" s="8"/>
      <c r="GL1114" s="8"/>
      <c r="GM1114" s="8"/>
      <c r="GN1114" s="8"/>
      <c r="GO1114" s="8"/>
      <c r="GP1114" s="8"/>
      <c r="GQ1114" s="8"/>
      <c r="GR1114" s="8"/>
      <c r="GS1114" s="8"/>
      <c r="GT1114" s="8"/>
      <c r="GU1114" s="8"/>
      <c r="GV1114" s="8"/>
      <c r="GW1114" s="8"/>
      <c r="GX1114" s="8"/>
      <c r="GY1114" s="8"/>
      <c r="GZ1114" s="8"/>
      <c r="HA1114" s="8"/>
      <c r="HB1114" s="8"/>
      <c r="HC1114" s="8"/>
      <c r="HD1114" s="8"/>
      <c r="HE1114" s="8"/>
      <c r="HF1114" s="8"/>
      <c r="HG1114" s="8"/>
      <c r="HH1114" s="8"/>
      <c r="HI1114" s="8"/>
      <c r="HJ1114" s="8"/>
      <c r="HK1114" s="8"/>
      <c r="HL1114" s="8"/>
      <c r="HM1114" s="8"/>
      <c r="HN1114" s="8"/>
      <c r="HO1114" s="8"/>
      <c r="HP1114" s="8"/>
      <c r="HQ1114" s="8"/>
      <c r="HR1114" s="8"/>
      <c r="HS1114" s="8"/>
      <c r="HT1114" s="8"/>
      <c r="HU1114" s="8"/>
      <c r="HV1114" s="8"/>
      <c r="HW1114" s="8"/>
      <c r="HX1114" s="8"/>
      <c r="HY1114" s="8"/>
      <c r="HZ1114" s="8"/>
      <c r="IA1114" s="8"/>
      <c r="IB1114" s="8"/>
      <c r="IC1114" s="8"/>
      <c r="ID1114" s="8"/>
      <c r="IE1114" s="8"/>
      <c r="IF1114" s="8"/>
    </row>
    <row r="1115" spans="1:240" ht="30" customHeight="1">
      <c r="A1115" s="5">
        <v>1113</v>
      </c>
      <c r="B1115" s="5"/>
      <c r="C1115" s="5"/>
      <c r="D1115" s="5" t="s">
        <v>68</v>
      </c>
      <c r="E1115" s="5" t="s">
        <v>48</v>
      </c>
      <c r="F1115" s="5" t="s">
        <v>48</v>
      </c>
      <c r="G1115" s="5" t="s">
        <v>48</v>
      </c>
      <c r="H1115" s="15">
        <f>4940*0.454</f>
        <v>2242.7600000000002</v>
      </c>
      <c r="I1115" s="5" t="s">
        <v>13</v>
      </c>
      <c r="J1115" s="15">
        <f>(3*150)/4.4</f>
        <v>102.27272727272727</v>
      </c>
      <c r="K1115" s="15">
        <f t="shared" si="33"/>
        <v>5.5560000000000009</v>
      </c>
      <c r="L1115" s="5">
        <v>527.5</v>
      </c>
      <c r="M1115" s="5">
        <f t="shared" si="32"/>
        <v>3.8800000000000026</v>
      </c>
      <c r="N1115" s="5"/>
      <c r="O1115" s="15">
        <f>35700*1.6978</f>
        <v>60611.46</v>
      </c>
      <c r="P1115" s="5"/>
      <c r="Q1115" s="5"/>
      <c r="R1115" s="5">
        <v>2</v>
      </c>
      <c r="S1115" s="5"/>
      <c r="T1115" s="5"/>
      <c r="U1115" s="5"/>
      <c r="V1115" s="5">
        <f>5*R1115*0.7457</f>
        <v>7.4570000000000007</v>
      </c>
      <c r="W1115" s="5"/>
      <c r="X1115" s="5"/>
      <c r="Y1115" s="5" t="s">
        <v>48</v>
      </c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16" t="s">
        <v>48</v>
      </c>
      <c r="AN1115" s="5"/>
      <c r="AO1115" s="8"/>
      <c r="AP1115" s="8"/>
      <c r="AQ1115" s="8"/>
      <c r="AR1115" s="8"/>
      <c r="AS1115" s="8"/>
      <c r="AT1115" s="8"/>
      <c r="AU1115" s="8"/>
      <c r="AV1115" s="8"/>
      <c r="AW1115" s="8"/>
      <c r="AX1115" s="8"/>
      <c r="AY1115" s="8"/>
      <c r="AZ1115" s="8"/>
      <c r="BA1115" s="8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8"/>
      <c r="BS1115" s="8"/>
      <c r="BT1115" s="8"/>
      <c r="BU1115" s="8"/>
      <c r="BV1115" s="8"/>
      <c r="BW1115" s="8"/>
      <c r="BX1115" s="8"/>
      <c r="BY1115" s="8"/>
      <c r="BZ1115" s="8"/>
      <c r="CA1115" s="8"/>
      <c r="CB1115" s="8"/>
      <c r="CC1115" s="8"/>
      <c r="CD1115" s="8"/>
      <c r="CE1115" s="8"/>
      <c r="CF1115" s="8"/>
      <c r="CG1115" s="8"/>
      <c r="CH1115" s="8"/>
      <c r="CI1115" s="8"/>
      <c r="CJ1115" s="8"/>
      <c r="CK1115" s="8"/>
      <c r="CL1115" s="8"/>
      <c r="CM1115" s="8"/>
      <c r="CN1115" s="8"/>
      <c r="CO1115" s="8"/>
      <c r="CP1115" s="8"/>
      <c r="CQ1115" s="8"/>
      <c r="CR1115" s="8"/>
      <c r="CS1115" s="8"/>
      <c r="CT1115" s="8"/>
      <c r="CU1115" s="8"/>
      <c r="CV1115" s="8"/>
      <c r="CW1115" s="8"/>
      <c r="CX1115" s="8"/>
      <c r="CY1115" s="8"/>
      <c r="CZ1115" s="8"/>
      <c r="DA1115" s="8"/>
      <c r="DB1115" s="8"/>
      <c r="DC1115" s="8"/>
      <c r="DD1115" s="8"/>
      <c r="DE1115" s="8"/>
      <c r="DF1115" s="8"/>
      <c r="DG1115" s="8"/>
      <c r="DH1115" s="8"/>
      <c r="DI1115" s="8"/>
      <c r="DJ1115" s="8"/>
      <c r="DK1115" s="8"/>
      <c r="DL1115" s="8"/>
      <c r="DM1115" s="8"/>
      <c r="DN1115" s="8"/>
      <c r="DO1115" s="8"/>
      <c r="DP1115" s="8"/>
      <c r="DQ1115" s="8"/>
      <c r="DR1115" s="8"/>
      <c r="DS1115" s="8"/>
      <c r="DT1115" s="8"/>
      <c r="DU1115" s="8"/>
      <c r="DV1115" s="8"/>
      <c r="DW1115" s="8"/>
      <c r="DX1115" s="8"/>
      <c r="DY1115" s="8"/>
      <c r="DZ1115" s="8"/>
      <c r="EA1115" s="8"/>
      <c r="EB1115" s="8"/>
      <c r="EC1115" s="8"/>
      <c r="ED1115" s="8"/>
      <c r="EE1115" s="8"/>
      <c r="EF1115" s="8"/>
      <c r="EG1115" s="8"/>
      <c r="EH1115" s="8"/>
      <c r="EI1115" s="8"/>
      <c r="EJ1115" s="8"/>
      <c r="EK1115" s="8"/>
      <c r="EL1115" s="8"/>
      <c r="EM1115" s="8"/>
      <c r="EN1115" s="8"/>
      <c r="EO1115" s="8"/>
      <c r="EP1115" s="8"/>
      <c r="EQ1115" s="8"/>
      <c r="ER1115" s="8"/>
      <c r="ES1115" s="8"/>
      <c r="ET1115" s="8"/>
      <c r="EU1115" s="8"/>
      <c r="EV1115" s="8"/>
      <c r="EW1115" s="8"/>
      <c r="EX1115" s="8"/>
      <c r="EY1115" s="8"/>
      <c r="EZ1115" s="8"/>
      <c r="FA1115" s="8"/>
      <c r="FB1115" s="8"/>
      <c r="FC1115" s="8"/>
      <c r="FD1115" s="8"/>
      <c r="FE1115" s="8"/>
      <c r="FF1115" s="8"/>
      <c r="FG1115" s="8"/>
      <c r="FH1115" s="8"/>
      <c r="FI1115" s="8"/>
      <c r="FJ1115" s="8"/>
      <c r="FK1115" s="8"/>
      <c r="FL1115" s="8"/>
      <c r="FM1115" s="8"/>
      <c r="FN1115" s="8"/>
      <c r="FO1115" s="8"/>
      <c r="FP1115" s="8"/>
      <c r="FQ1115" s="8"/>
      <c r="FR1115" s="8"/>
      <c r="FS1115" s="8"/>
      <c r="FT1115" s="8"/>
      <c r="FU1115" s="8"/>
      <c r="FV1115" s="8"/>
      <c r="FW1115" s="8"/>
      <c r="FX1115" s="8"/>
      <c r="FY1115" s="8"/>
      <c r="FZ1115" s="8"/>
      <c r="GA1115" s="8"/>
      <c r="GB1115" s="8"/>
      <c r="GC1115" s="8"/>
      <c r="GD1115" s="8"/>
      <c r="GE1115" s="8"/>
      <c r="GF1115" s="8"/>
      <c r="GG1115" s="8"/>
      <c r="GH1115" s="8"/>
      <c r="GI1115" s="8"/>
      <c r="GJ1115" s="8"/>
      <c r="GK1115" s="8"/>
      <c r="GL1115" s="8"/>
      <c r="GM1115" s="8"/>
      <c r="GN1115" s="8"/>
      <c r="GO1115" s="8"/>
      <c r="GP1115" s="8"/>
      <c r="GQ1115" s="8"/>
      <c r="GR1115" s="8"/>
      <c r="GS1115" s="8"/>
      <c r="GT1115" s="8"/>
      <c r="GU1115" s="8"/>
      <c r="GV1115" s="8"/>
      <c r="GW1115" s="8"/>
      <c r="GX1115" s="8"/>
      <c r="GY1115" s="8"/>
      <c r="GZ1115" s="8"/>
      <c r="HA1115" s="8"/>
      <c r="HB1115" s="8"/>
      <c r="HC1115" s="8"/>
      <c r="HD1115" s="8"/>
      <c r="HE1115" s="8"/>
      <c r="HF1115" s="8"/>
      <c r="HG1115" s="8"/>
      <c r="HH1115" s="8"/>
      <c r="HI1115" s="8"/>
      <c r="HJ1115" s="8"/>
      <c r="HK1115" s="8"/>
      <c r="HL1115" s="8"/>
      <c r="HM1115" s="8"/>
      <c r="HN1115" s="8"/>
      <c r="HO1115" s="8"/>
      <c r="HP1115" s="8"/>
      <c r="HQ1115" s="8"/>
      <c r="HR1115" s="8"/>
      <c r="HS1115" s="8"/>
      <c r="HT1115" s="8"/>
      <c r="HU1115" s="8"/>
      <c r="HV1115" s="8"/>
      <c r="HW1115" s="8"/>
      <c r="HX1115" s="8"/>
      <c r="HY1115" s="8"/>
      <c r="HZ1115" s="8"/>
      <c r="IA1115" s="8"/>
      <c r="IB1115" s="8"/>
      <c r="IC1115" s="8"/>
      <c r="ID1115" s="8"/>
      <c r="IE1115" s="8"/>
      <c r="IF1115" s="8"/>
    </row>
    <row r="1116" spans="1:240" ht="30" customHeight="1">
      <c r="A1116" s="5">
        <v>1114</v>
      </c>
      <c r="B1116" s="5"/>
      <c r="C1116" s="5"/>
      <c r="D1116" s="5" t="s">
        <v>68</v>
      </c>
      <c r="E1116" s="5" t="s">
        <v>48</v>
      </c>
      <c r="F1116" s="5" t="s">
        <v>48</v>
      </c>
      <c r="G1116" s="5" t="s">
        <v>48</v>
      </c>
      <c r="H1116" s="15">
        <f>5100*0.454</f>
        <v>2315.4</v>
      </c>
      <c r="I1116" s="5" t="s">
        <v>13</v>
      </c>
      <c r="J1116" s="15">
        <f>(3*89)/4.4</f>
        <v>60.68181818181818</v>
      </c>
      <c r="K1116" s="15">
        <f t="shared" si="33"/>
        <v>5.5560000000000009</v>
      </c>
      <c r="L1116" s="5">
        <v>393.89</v>
      </c>
      <c r="M1116" s="5">
        <f t="shared" si="32"/>
        <v>3.8800000000000026</v>
      </c>
      <c r="N1116" s="5"/>
      <c r="O1116" s="15">
        <f>26500*1.6978</f>
        <v>44991.7</v>
      </c>
      <c r="P1116" s="5"/>
      <c r="Q1116" s="5"/>
      <c r="R1116" s="5">
        <v>1</v>
      </c>
      <c r="S1116" s="5"/>
      <c r="T1116" s="5"/>
      <c r="U1116" s="5"/>
      <c r="V1116" s="5">
        <f>5*R1116*0.7457</f>
        <v>3.7285000000000004</v>
      </c>
      <c r="W1116" s="5"/>
      <c r="X1116" s="5"/>
      <c r="Y1116" s="5" t="s">
        <v>48</v>
      </c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16">
        <v>8146</v>
      </c>
      <c r="AN1116" s="5"/>
      <c r="AO1116" s="8"/>
      <c r="AP1116" s="8"/>
      <c r="AQ1116" s="8"/>
      <c r="AR1116" s="8"/>
      <c r="AS1116" s="8"/>
      <c r="AT1116" s="8"/>
      <c r="AU1116" s="8"/>
      <c r="AV1116" s="8"/>
      <c r="AW1116" s="8"/>
      <c r="AX1116" s="8"/>
      <c r="AY1116" s="8"/>
      <c r="AZ1116" s="8"/>
      <c r="BA1116" s="8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8"/>
      <c r="BS1116" s="8"/>
      <c r="BT1116" s="8"/>
      <c r="BU1116" s="8"/>
      <c r="BV1116" s="8"/>
      <c r="BW1116" s="8"/>
      <c r="BX1116" s="8"/>
      <c r="BY1116" s="8"/>
      <c r="BZ1116" s="8"/>
      <c r="CA1116" s="8"/>
      <c r="CB1116" s="8"/>
      <c r="CC1116" s="8"/>
      <c r="CD1116" s="8"/>
      <c r="CE1116" s="8"/>
      <c r="CF1116" s="8"/>
      <c r="CG1116" s="8"/>
      <c r="CH1116" s="8"/>
      <c r="CI1116" s="8"/>
      <c r="CJ1116" s="8"/>
      <c r="CK1116" s="8"/>
      <c r="CL1116" s="8"/>
      <c r="CM1116" s="8"/>
      <c r="CN1116" s="8"/>
      <c r="CO1116" s="8"/>
      <c r="CP1116" s="8"/>
      <c r="CQ1116" s="8"/>
      <c r="CR1116" s="8"/>
      <c r="CS1116" s="8"/>
      <c r="CT1116" s="8"/>
      <c r="CU1116" s="8"/>
      <c r="CV1116" s="8"/>
      <c r="CW1116" s="8"/>
      <c r="CX1116" s="8"/>
      <c r="CY1116" s="8"/>
      <c r="CZ1116" s="8"/>
      <c r="DA1116" s="8"/>
      <c r="DB1116" s="8"/>
      <c r="DC1116" s="8"/>
      <c r="DD1116" s="8"/>
      <c r="DE1116" s="8"/>
      <c r="DF1116" s="8"/>
      <c r="DG1116" s="8"/>
      <c r="DH1116" s="8"/>
      <c r="DI1116" s="8"/>
      <c r="DJ1116" s="8"/>
      <c r="DK1116" s="8"/>
      <c r="DL1116" s="8"/>
      <c r="DM1116" s="8"/>
      <c r="DN1116" s="8"/>
      <c r="DO1116" s="8"/>
      <c r="DP1116" s="8"/>
      <c r="DQ1116" s="8"/>
      <c r="DR1116" s="8"/>
      <c r="DS1116" s="8"/>
      <c r="DT1116" s="8"/>
      <c r="DU1116" s="8"/>
      <c r="DV1116" s="8"/>
      <c r="DW1116" s="8"/>
      <c r="DX1116" s="8"/>
      <c r="DY1116" s="8"/>
      <c r="DZ1116" s="8"/>
      <c r="EA1116" s="8"/>
      <c r="EB1116" s="8"/>
      <c r="EC1116" s="8"/>
      <c r="ED1116" s="8"/>
      <c r="EE1116" s="8"/>
      <c r="EF1116" s="8"/>
      <c r="EG1116" s="8"/>
      <c r="EH1116" s="8"/>
      <c r="EI1116" s="8"/>
      <c r="EJ1116" s="8"/>
      <c r="EK1116" s="8"/>
      <c r="EL1116" s="8"/>
      <c r="EM1116" s="8"/>
      <c r="EN1116" s="8"/>
      <c r="EO1116" s="8"/>
      <c r="EP1116" s="8"/>
      <c r="EQ1116" s="8"/>
      <c r="ER1116" s="8"/>
      <c r="ES1116" s="8"/>
      <c r="ET1116" s="8"/>
      <c r="EU1116" s="8"/>
      <c r="EV1116" s="8"/>
      <c r="EW1116" s="8"/>
      <c r="EX1116" s="8"/>
      <c r="EY1116" s="8"/>
      <c r="EZ1116" s="8"/>
      <c r="FA1116" s="8"/>
      <c r="FB1116" s="8"/>
      <c r="FC1116" s="8"/>
      <c r="FD1116" s="8"/>
      <c r="FE1116" s="8"/>
      <c r="FF1116" s="8"/>
      <c r="FG1116" s="8"/>
      <c r="FH1116" s="8"/>
      <c r="FI1116" s="8"/>
      <c r="FJ1116" s="8"/>
      <c r="FK1116" s="8"/>
      <c r="FL1116" s="8"/>
      <c r="FM1116" s="8"/>
      <c r="FN1116" s="8"/>
      <c r="FO1116" s="8"/>
      <c r="FP1116" s="8"/>
      <c r="FQ1116" s="8"/>
      <c r="FR1116" s="8"/>
      <c r="FS1116" s="8"/>
      <c r="FT1116" s="8"/>
      <c r="FU1116" s="8"/>
      <c r="FV1116" s="8"/>
      <c r="FW1116" s="8"/>
      <c r="FX1116" s="8"/>
      <c r="FY1116" s="8"/>
      <c r="FZ1116" s="8"/>
      <c r="GA1116" s="8"/>
      <c r="GB1116" s="8"/>
      <c r="GC1116" s="8"/>
      <c r="GD1116" s="8"/>
      <c r="GE1116" s="8"/>
      <c r="GF1116" s="8"/>
      <c r="GG1116" s="8"/>
      <c r="GH1116" s="8"/>
      <c r="GI1116" s="8"/>
      <c r="GJ1116" s="8"/>
      <c r="GK1116" s="8"/>
      <c r="GL1116" s="8"/>
      <c r="GM1116" s="8"/>
      <c r="GN1116" s="8"/>
      <c r="GO1116" s="8"/>
      <c r="GP1116" s="8"/>
      <c r="GQ1116" s="8"/>
      <c r="GR1116" s="8"/>
      <c r="GS1116" s="8"/>
      <c r="GT1116" s="8"/>
      <c r="GU1116" s="8"/>
      <c r="GV1116" s="8"/>
      <c r="GW1116" s="8"/>
      <c r="GX1116" s="8"/>
      <c r="GY1116" s="8"/>
      <c r="GZ1116" s="8"/>
      <c r="HA1116" s="8"/>
      <c r="HB1116" s="8"/>
      <c r="HC1116" s="8"/>
      <c r="HD1116" s="8"/>
      <c r="HE1116" s="8"/>
      <c r="HF1116" s="8"/>
      <c r="HG1116" s="8"/>
      <c r="HH1116" s="8"/>
      <c r="HI1116" s="8"/>
      <c r="HJ1116" s="8"/>
      <c r="HK1116" s="8"/>
      <c r="HL1116" s="8"/>
      <c r="HM1116" s="8"/>
      <c r="HN1116" s="8"/>
      <c r="HO1116" s="8"/>
      <c r="HP1116" s="8"/>
      <c r="HQ1116" s="8"/>
      <c r="HR1116" s="8"/>
      <c r="HS1116" s="8"/>
      <c r="HT1116" s="8"/>
      <c r="HU1116" s="8"/>
      <c r="HV1116" s="8"/>
      <c r="HW1116" s="8"/>
      <c r="HX1116" s="8"/>
      <c r="HY1116" s="8"/>
      <c r="HZ1116" s="8"/>
      <c r="IA1116" s="8"/>
      <c r="IB1116" s="8"/>
      <c r="IC1116" s="8"/>
      <c r="ID1116" s="8"/>
      <c r="IE1116" s="8"/>
      <c r="IF1116" s="8"/>
    </row>
    <row r="1117" spans="1:240" ht="30" customHeight="1">
      <c r="A1117" s="5">
        <v>1115</v>
      </c>
      <c r="B1117" s="5"/>
      <c r="C1117" s="5"/>
      <c r="D1117" s="5" t="s">
        <v>68</v>
      </c>
      <c r="E1117" s="5" t="s">
        <v>48</v>
      </c>
      <c r="F1117" s="5" t="s">
        <v>48</v>
      </c>
      <c r="G1117" s="5" t="s">
        <v>48</v>
      </c>
      <c r="H1117" s="15">
        <f>5340*0.454</f>
        <v>2424.36</v>
      </c>
      <c r="I1117" s="5" t="s">
        <v>13</v>
      </c>
      <c r="J1117" s="15">
        <f>(3*138)/4.4</f>
        <v>94.090909090909079</v>
      </c>
      <c r="K1117" s="15">
        <f t="shared" si="33"/>
        <v>5.5560000000000009</v>
      </c>
      <c r="L1117" s="5">
        <v>485.33</v>
      </c>
      <c r="M1117" s="5">
        <f t="shared" si="32"/>
        <v>3.8800000000000026</v>
      </c>
      <c r="N1117" s="5"/>
      <c r="O1117" s="15">
        <f>29700*1.6978</f>
        <v>50424.659999999996</v>
      </c>
      <c r="P1117" s="5"/>
      <c r="Q1117" s="5"/>
      <c r="R1117" s="5">
        <v>1</v>
      </c>
      <c r="S1117" s="5"/>
      <c r="T1117" s="5"/>
      <c r="U1117" s="5"/>
      <c r="Y1117" s="5">
        <f>7.5*R1117*0.7457</f>
        <v>5.5927500000000006</v>
      </c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16">
        <v>8438</v>
      </c>
      <c r="AN1117" s="5"/>
      <c r="AO1117" s="8"/>
      <c r="AP1117" s="8"/>
      <c r="AQ1117" s="8"/>
      <c r="AR1117" s="8"/>
      <c r="AS1117" s="8"/>
      <c r="AT1117" s="8"/>
      <c r="AU1117" s="8"/>
      <c r="AV1117" s="8"/>
      <c r="AW1117" s="8"/>
      <c r="AX1117" s="8"/>
      <c r="AY1117" s="8"/>
      <c r="AZ1117" s="8"/>
      <c r="BA1117" s="8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8"/>
      <c r="BS1117" s="8"/>
      <c r="BT1117" s="8"/>
      <c r="BU1117" s="8"/>
      <c r="BV1117" s="8"/>
      <c r="BW1117" s="8"/>
      <c r="BX1117" s="8"/>
      <c r="BY1117" s="8"/>
      <c r="BZ1117" s="8"/>
      <c r="CA1117" s="8"/>
      <c r="CB1117" s="8"/>
      <c r="CC1117" s="8"/>
      <c r="CD1117" s="8"/>
      <c r="CE1117" s="8"/>
      <c r="CF1117" s="8"/>
      <c r="CG1117" s="8"/>
      <c r="CH1117" s="8"/>
      <c r="CI1117" s="8"/>
      <c r="CJ1117" s="8"/>
      <c r="CK1117" s="8"/>
      <c r="CL1117" s="8"/>
      <c r="CM1117" s="8"/>
      <c r="CN1117" s="8"/>
      <c r="CO1117" s="8"/>
      <c r="CP1117" s="8"/>
      <c r="CQ1117" s="8"/>
      <c r="CR1117" s="8"/>
      <c r="CS1117" s="8"/>
      <c r="CT1117" s="8"/>
      <c r="CU1117" s="8"/>
      <c r="CV1117" s="8"/>
      <c r="CW1117" s="8"/>
      <c r="CX1117" s="8"/>
      <c r="CY1117" s="8"/>
      <c r="CZ1117" s="8"/>
      <c r="DA1117" s="8"/>
      <c r="DB1117" s="8"/>
      <c r="DC1117" s="8"/>
      <c r="DD1117" s="8"/>
      <c r="DE1117" s="8"/>
      <c r="DF1117" s="8"/>
      <c r="DG1117" s="8"/>
      <c r="DH1117" s="8"/>
      <c r="DI1117" s="8"/>
      <c r="DJ1117" s="8"/>
      <c r="DK1117" s="8"/>
      <c r="DL1117" s="8"/>
      <c r="DM1117" s="8"/>
      <c r="DN1117" s="8"/>
      <c r="DO1117" s="8"/>
      <c r="DP1117" s="8"/>
      <c r="DQ1117" s="8"/>
      <c r="DR1117" s="8"/>
      <c r="DS1117" s="8"/>
      <c r="DT1117" s="8"/>
      <c r="DU1117" s="8"/>
      <c r="DV1117" s="8"/>
      <c r="DW1117" s="8"/>
      <c r="DX1117" s="8"/>
      <c r="DY1117" s="8"/>
      <c r="DZ1117" s="8"/>
      <c r="EA1117" s="8"/>
      <c r="EB1117" s="8"/>
      <c r="EC1117" s="8"/>
      <c r="ED1117" s="8"/>
      <c r="EE1117" s="8"/>
      <c r="EF1117" s="8"/>
      <c r="EG1117" s="8"/>
      <c r="EH1117" s="8"/>
      <c r="EI1117" s="8"/>
      <c r="EJ1117" s="8"/>
      <c r="EK1117" s="8"/>
      <c r="EL1117" s="8"/>
      <c r="EM1117" s="8"/>
      <c r="EN1117" s="8"/>
      <c r="EO1117" s="8"/>
      <c r="EP1117" s="8"/>
      <c r="EQ1117" s="8"/>
      <c r="ER1117" s="8"/>
      <c r="ES1117" s="8"/>
      <c r="ET1117" s="8"/>
      <c r="EU1117" s="8"/>
      <c r="EV1117" s="8"/>
      <c r="EW1117" s="8"/>
      <c r="EX1117" s="8"/>
      <c r="EY1117" s="8"/>
      <c r="EZ1117" s="8"/>
      <c r="FA1117" s="8"/>
      <c r="FB1117" s="8"/>
      <c r="FC1117" s="8"/>
      <c r="FD1117" s="8"/>
      <c r="FE1117" s="8"/>
      <c r="FF1117" s="8"/>
      <c r="FG1117" s="8"/>
      <c r="FH1117" s="8"/>
      <c r="FI1117" s="8"/>
      <c r="FJ1117" s="8"/>
      <c r="FK1117" s="8"/>
      <c r="FL1117" s="8"/>
      <c r="FM1117" s="8"/>
      <c r="FN1117" s="8"/>
      <c r="FO1117" s="8"/>
      <c r="FP1117" s="8"/>
      <c r="FQ1117" s="8"/>
      <c r="FR1117" s="8"/>
      <c r="FS1117" s="8"/>
      <c r="FT1117" s="8"/>
      <c r="FU1117" s="8"/>
      <c r="FV1117" s="8"/>
      <c r="FW1117" s="8"/>
      <c r="FX1117" s="8"/>
      <c r="FY1117" s="8"/>
      <c r="FZ1117" s="8"/>
      <c r="GA1117" s="8"/>
      <c r="GB1117" s="8"/>
      <c r="GC1117" s="8"/>
      <c r="GD1117" s="8"/>
      <c r="GE1117" s="8"/>
      <c r="GF1117" s="8"/>
      <c r="GG1117" s="8"/>
      <c r="GH1117" s="8"/>
      <c r="GI1117" s="8"/>
      <c r="GJ1117" s="8"/>
      <c r="GK1117" s="8"/>
      <c r="GL1117" s="8"/>
      <c r="GM1117" s="8"/>
      <c r="GN1117" s="8"/>
      <c r="GO1117" s="8"/>
      <c r="GP1117" s="8"/>
      <c r="GQ1117" s="8"/>
      <c r="GR1117" s="8"/>
      <c r="GS1117" s="8"/>
      <c r="GT1117" s="8"/>
      <c r="GU1117" s="8"/>
      <c r="GV1117" s="8"/>
      <c r="GW1117" s="8"/>
      <c r="GX1117" s="8"/>
      <c r="GY1117" s="8"/>
      <c r="GZ1117" s="8"/>
      <c r="HA1117" s="8"/>
      <c r="HB1117" s="8"/>
      <c r="HC1117" s="8"/>
      <c r="HD1117" s="8"/>
      <c r="HE1117" s="8"/>
      <c r="HF1117" s="8"/>
      <c r="HG1117" s="8"/>
      <c r="HH1117" s="8"/>
      <c r="HI1117" s="8"/>
      <c r="HJ1117" s="8"/>
      <c r="HK1117" s="8"/>
      <c r="HL1117" s="8"/>
      <c r="HM1117" s="8"/>
      <c r="HN1117" s="8"/>
      <c r="HO1117" s="8"/>
      <c r="HP1117" s="8"/>
      <c r="HQ1117" s="8"/>
      <c r="HR1117" s="8"/>
      <c r="HS1117" s="8"/>
      <c r="HT1117" s="8"/>
      <c r="HU1117" s="8"/>
      <c r="HV1117" s="8"/>
      <c r="HW1117" s="8"/>
      <c r="HX1117" s="8"/>
      <c r="HY1117" s="8"/>
      <c r="HZ1117" s="8"/>
      <c r="IA1117" s="8"/>
      <c r="IB1117" s="8"/>
      <c r="IC1117" s="8"/>
      <c r="ID1117" s="8"/>
      <c r="IE1117" s="8"/>
      <c r="IF1117" s="8"/>
    </row>
    <row r="1118" spans="1:240" ht="30" customHeight="1">
      <c r="A1118" s="5">
        <v>1116</v>
      </c>
      <c r="B1118" s="5"/>
      <c r="C1118" s="5"/>
      <c r="D1118" s="5" t="s">
        <v>68</v>
      </c>
      <c r="E1118" s="5" t="s">
        <v>48</v>
      </c>
      <c r="F1118" s="5" t="s">
        <v>48</v>
      </c>
      <c r="G1118" s="5" t="s">
        <v>48</v>
      </c>
      <c r="H1118" s="15">
        <f>10160*0.454</f>
        <v>4612.6400000000003</v>
      </c>
      <c r="I1118" s="5" t="s">
        <v>13</v>
      </c>
      <c r="J1118" s="15">
        <f>(3*179)/4.4</f>
        <v>122.04545454545453</v>
      </c>
      <c r="K1118" s="15">
        <f t="shared" si="33"/>
        <v>5.5560000000000009</v>
      </c>
      <c r="L1118" s="5">
        <v>629.5</v>
      </c>
      <c r="M1118" s="5">
        <f t="shared" si="32"/>
        <v>3.8800000000000026</v>
      </c>
      <c r="N1118" s="5"/>
      <c r="O1118" s="15">
        <f>45200*1.6978</f>
        <v>76740.56</v>
      </c>
      <c r="P1118" s="5"/>
      <c r="Q1118" s="5"/>
      <c r="R1118" s="5">
        <v>2</v>
      </c>
      <c r="S1118" s="5"/>
      <c r="T1118" s="5"/>
      <c r="U1118" s="5"/>
      <c r="V1118" s="5">
        <f>3*0.7457*R1118</f>
        <v>4.4741999999999997</v>
      </c>
      <c r="W1118" s="5"/>
      <c r="X1118" s="5"/>
      <c r="Y1118" s="5" t="s">
        <v>48</v>
      </c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16" t="s">
        <v>48</v>
      </c>
      <c r="AN1118" s="5"/>
      <c r="AO1118" s="8"/>
      <c r="AP1118" s="8"/>
      <c r="AQ1118" s="8"/>
      <c r="AR1118" s="8"/>
      <c r="AS1118" s="8"/>
      <c r="AT1118" s="8"/>
      <c r="AU1118" s="8"/>
      <c r="AV1118" s="8"/>
      <c r="AW1118" s="8"/>
      <c r="AX1118" s="8"/>
      <c r="AY1118" s="8"/>
      <c r="AZ1118" s="8"/>
      <c r="BA1118" s="8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8"/>
      <c r="BS1118" s="8"/>
      <c r="BT1118" s="8"/>
      <c r="BU1118" s="8"/>
      <c r="BV1118" s="8"/>
      <c r="BW1118" s="8"/>
      <c r="BX1118" s="8"/>
      <c r="BY1118" s="8"/>
      <c r="BZ1118" s="8"/>
      <c r="CA1118" s="8"/>
      <c r="CB1118" s="8"/>
      <c r="CC1118" s="8"/>
      <c r="CD1118" s="8"/>
      <c r="CE1118" s="8"/>
      <c r="CF1118" s="8"/>
      <c r="CG1118" s="8"/>
      <c r="CH1118" s="8"/>
      <c r="CI1118" s="8"/>
      <c r="CJ1118" s="8"/>
      <c r="CK1118" s="8"/>
      <c r="CL1118" s="8"/>
      <c r="CM1118" s="8"/>
      <c r="CN1118" s="8"/>
      <c r="CO1118" s="8"/>
      <c r="CP1118" s="8"/>
      <c r="CQ1118" s="8"/>
      <c r="CR1118" s="8"/>
      <c r="CS1118" s="8"/>
      <c r="CT1118" s="8"/>
      <c r="CU1118" s="8"/>
      <c r="CV1118" s="8"/>
      <c r="CW1118" s="8"/>
      <c r="CX1118" s="8"/>
      <c r="CY1118" s="8"/>
      <c r="CZ1118" s="8"/>
      <c r="DA1118" s="8"/>
      <c r="DB1118" s="8"/>
      <c r="DC1118" s="8"/>
      <c r="DD1118" s="8"/>
      <c r="DE1118" s="8"/>
      <c r="DF1118" s="8"/>
      <c r="DG1118" s="8"/>
      <c r="DH1118" s="8"/>
      <c r="DI1118" s="8"/>
      <c r="DJ1118" s="8"/>
      <c r="DK1118" s="8"/>
      <c r="DL1118" s="8"/>
      <c r="DM1118" s="8"/>
      <c r="DN1118" s="8"/>
      <c r="DO1118" s="8"/>
      <c r="DP1118" s="8"/>
      <c r="DQ1118" s="8"/>
      <c r="DR1118" s="8"/>
      <c r="DS1118" s="8"/>
      <c r="DT1118" s="8"/>
      <c r="DU1118" s="8"/>
      <c r="DV1118" s="8"/>
      <c r="DW1118" s="8"/>
      <c r="DX1118" s="8"/>
      <c r="DY1118" s="8"/>
      <c r="DZ1118" s="8"/>
      <c r="EA1118" s="8"/>
      <c r="EB1118" s="8"/>
      <c r="EC1118" s="8"/>
      <c r="ED1118" s="8"/>
      <c r="EE1118" s="8"/>
      <c r="EF1118" s="8"/>
      <c r="EG1118" s="8"/>
      <c r="EH1118" s="8"/>
      <c r="EI1118" s="8"/>
      <c r="EJ1118" s="8"/>
      <c r="EK1118" s="8"/>
      <c r="EL1118" s="8"/>
      <c r="EM1118" s="8"/>
      <c r="EN1118" s="8"/>
      <c r="EO1118" s="8"/>
      <c r="EP1118" s="8"/>
      <c r="EQ1118" s="8"/>
      <c r="ER1118" s="8"/>
      <c r="ES1118" s="8"/>
      <c r="ET1118" s="8"/>
      <c r="EU1118" s="8"/>
      <c r="EV1118" s="8"/>
      <c r="EW1118" s="8"/>
      <c r="EX1118" s="8"/>
      <c r="EY1118" s="8"/>
      <c r="EZ1118" s="8"/>
      <c r="FA1118" s="8"/>
      <c r="FB1118" s="8"/>
      <c r="FC1118" s="8"/>
      <c r="FD1118" s="8"/>
      <c r="FE1118" s="8"/>
      <c r="FF1118" s="8"/>
      <c r="FG1118" s="8"/>
      <c r="FH1118" s="8"/>
      <c r="FI1118" s="8"/>
      <c r="FJ1118" s="8"/>
      <c r="FK1118" s="8"/>
      <c r="FL1118" s="8"/>
      <c r="FM1118" s="8"/>
      <c r="FN1118" s="8"/>
      <c r="FO1118" s="8"/>
      <c r="FP1118" s="8"/>
      <c r="FQ1118" s="8"/>
      <c r="FR1118" s="8"/>
      <c r="FS1118" s="8"/>
      <c r="FT1118" s="8"/>
      <c r="FU1118" s="8"/>
      <c r="FV1118" s="8"/>
      <c r="FW1118" s="8"/>
      <c r="FX1118" s="8"/>
      <c r="FY1118" s="8"/>
      <c r="FZ1118" s="8"/>
      <c r="GA1118" s="8"/>
      <c r="GB1118" s="8"/>
      <c r="GC1118" s="8"/>
      <c r="GD1118" s="8"/>
      <c r="GE1118" s="8"/>
      <c r="GF1118" s="8"/>
      <c r="GG1118" s="8"/>
      <c r="GH1118" s="8"/>
      <c r="GI1118" s="8"/>
      <c r="GJ1118" s="8"/>
      <c r="GK1118" s="8"/>
      <c r="GL1118" s="8"/>
      <c r="GM1118" s="8"/>
      <c r="GN1118" s="8"/>
      <c r="GO1118" s="8"/>
      <c r="GP1118" s="8"/>
      <c r="GQ1118" s="8"/>
      <c r="GR1118" s="8"/>
      <c r="GS1118" s="8"/>
      <c r="GT1118" s="8"/>
      <c r="GU1118" s="8"/>
      <c r="GV1118" s="8"/>
      <c r="GW1118" s="8"/>
      <c r="GX1118" s="8"/>
      <c r="GY1118" s="8"/>
      <c r="GZ1118" s="8"/>
      <c r="HA1118" s="8"/>
      <c r="HB1118" s="8"/>
      <c r="HC1118" s="8"/>
      <c r="HD1118" s="8"/>
      <c r="HE1118" s="8"/>
      <c r="HF1118" s="8"/>
      <c r="HG1118" s="8"/>
      <c r="HH1118" s="8"/>
      <c r="HI1118" s="8"/>
      <c r="HJ1118" s="8"/>
      <c r="HK1118" s="8"/>
      <c r="HL1118" s="8"/>
      <c r="HM1118" s="8"/>
      <c r="HN1118" s="8"/>
      <c r="HO1118" s="8"/>
      <c r="HP1118" s="8"/>
      <c r="HQ1118" s="8"/>
      <c r="HR1118" s="8"/>
      <c r="HS1118" s="8"/>
      <c r="HT1118" s="8"/>
      <c r="HU1118" s="8"/>
      <c r="HV1118" s="8"/>
      <c r="HW1118" s="8"/>
      <c r="HX1118" s="8"/>
      <c r="HY1118" s="8"/>
      <c r="HZ1118" s="8"/>
      <c r="IA1118" s="8"/>
      <c r="IB1118" s="8"/>
      <c r="IC1118" s="8"/>
      <c r="ID1118" s="8"/>
      <c r="IE1118" s="8"/>
      <c r="IF1118" s="8"/>
    </row>
    <row r="1119" spans="1:240" ht="30" customHeight="1">
      <c r="A1119" s="5">
        <v>1117</v>
      </c>
      <c r="B1119" s="5"/>
      <c r="C1119" s="5"/>
      <c r="D1119" s="5" t="s">
        <v>68</v>
      </c>
      <c r="E1119" s="5" t="s">
        <v>48</v>
      </c>
      <c r="F1119" s="5" t="s">
        <v>48</v>
      </c>
      <c r="G1119" s="5" t="s">
        <v>48</v>
      </c>
      <c r="H1119" s="15">
        <f>10200*0.454</f>
        <v>4630.8</v>
      </c>
      <c r="I1119" s="5" t="s">
        <v>13</v>
      </c>
      <c r="J1119" s="15">
        <f>(3*225)/4.4</f>
        <v>153.40909090909091</v>
      </c>
      <c r="K1119" s="15">
        <f t="shared" si="33"/>
        <v>5.5560000000000009</v>
      </c>
      <c r="L1119" s="5">
        <v>791.3</v>
      </c>
      <c r="M1119" s="5">
        <f t="shared" si="32"/>
        <v>3.8800000000000026</v>
      </c>
      <c r="N1119" s="5"/>
      <c r="O1119" s="15">
        <f>53100*1.6978</f>
        <v>90153.18</v>
      </c>
      <c r="P1119" s="5"/>
      <c r="Q1119" s="5"/>
      <c r="R1119" s="5">
        <v>2</v>
      </c>
      <c r="S1119" s="5"/>
      <c r="T1119" s="5"/>
      <c r="U1119" s="5"/>
      <c r="V1119" s="5">
        <f>5*0.7457*R1119</f>
        <v>7.4570000000000007</v>
      </c>
      <c r="W1119" s="5"/>
      <c r="X1119" s="5"/>
      <c r="Y1119" s="5" t="s">
        <v>48</v>
      </c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16" t="s">
        <v>48</v>
      </c>
      <c r="AN1119" s="5"/>
      <c r="AO1119" s="8"/>
      <c r="AP1119" s="8"/>
      <c r="AQ1119" s="8"/>
      <c r="AR1119" s="8"/>
      <c r="AS1119" s="8"/>
      <c r="AT1119" s="8"/>
      <c r="AU1119" s="8"/>
      <c r="AV1119" s="8"/>
      <c r="AW1119" s="8"/>
      <c r="AX1119" s="8"/>
      <c r="AY1119" s="8"/>
      <c r="AZ1119" s="8"/>
      <c r="BA1119" s="8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8"/>
      <c r="BS1119" s="8"/>
      <c r="BT1119" s="8"/>
      <c r="BU1119" s="8"/>
      <c r="BV1119" s="8"/>
      <c r="BW1119" s="8"/>
      <c r="BX1119" s="8"/>
      <c r="BY1119" s="8"/>
      <c r="BZ1119" s="8"/>
      <c r="CA1119" s="8"/>
      <c r="CB1119" s="8"/>
      <c r="CC1119" s="8"/>
      <c r="CD1119" s="8"/>
      <c r="CE1119" s="8"/>
      <c r="CF1119" s="8"/>
      <c r="CG1119" s="8"/>
      <c r="CH1119" s="8"/>
      <c r="CI1119" s="8"/>
      <c r="CJ1119" s="8"/>
      <c r="CK1119" s="8"/>
      <c r="CL1119" s="8"/>
      <c r="CM1119" s="8"/>
      <c r="CN1119" s="8"/>
      <c r="CO1119" s="8"/>
      <c r="CP1119" s="8"/>
      <c r="CQ1119" s="8"/>
      <c r="CR1119" s="8"/>
      <c r="CS1119" s="8"/>
      <c r="CT1119" s="8"/>
      <c r="CU1119" s="8"/>
      <c r="CV1119" s="8"/>
      <c r="CW1119" s="8"/>
      <c r="CX1119" s="8"/>
      <c r="CY1119" s="8"/>
      <c r="CZ1119" s="8"/>
      <c r="DA1119" s="8"/>
      <c r="DB1119" s="8"/>
      <c r="DC1119" s="8"/>
      <c r="DD1119" s="8"/>
      <c r="DE1119" s="8"/>
      <c r="DF1119" s="8"/>
      <c r="DG1119" s="8"/>
      <c r="DH1119" s="8"/>
      <c r="DI1119" s="8"/>
      <c r="DJ1119" s="8"/>
      <c r="DK1119" s="8"/>
      <c r="DL1119" s="8"/>
      <c r="DM1119" s="8"/>
      <c r="DN1119" s="8"/>
      <c r="DO1119" s="8"/>
      <c r="DP1119" s="8"/>
      <c r="DQ1119" s="8"/>
      <c r="DR1119" s="8"/>
      <c r="DS1119" s="8"/>
      <c r="DT1119" s="8"/>
      <c r="DU1119" s="8"/>
      <c r="DV1119" s="8"/>
      <c r="DW1119" s="8"/>
      <c r="DX1119" s="8"/>
      <c r="DY1119" s="8"/>
      <c r="DZ1119" s="8"/>
      <c r="EA1119" s="8"/>
      <c r="EB1119" s="8"/>
      <c r="EC1119" s="8"/>
      <c r="ED1119" s="8"/>
      <c r="EE1119" s="8"/>
      <c r="EF1119" s="8"/>
      <c r="EG1119" s="8"/>
      <c r="EH1119" s="8"/>
      <c r="EI1119" s="8"/>
      <c r="EJ1119" s="8"/>
      <c r="EK1119" s="8"/>
      <c r="EL1119" s="8"/>
      <c r="EM1119" s="8"/>
      <c r="EN1119" s="8"/>
      <c r="EO1119" s="8"/>
      <c r="EP1119" s="8"/>
      <c r="EQ1119" s="8"/>
      <c r="ER1119" s="8"/>
      <c r="ES1119" s="8"/>
      <c r="ET1119" s="8"/>
      <c r="EU1119" s="8"/>
      <c r="EV1119" s="8"/>
      <c r="EW1119" s="8"/>
      <c r="EX1119" s="8"/>
      <c r="EY1119" s="8"/>
      <c r="EZ1119" s="8"/>
      <c r="FA1119" s="8"/>
      <c r="FB1119" s="8"/>
      <c r="FC1119" s="8"/>
      <c r="FD1119" s="8"/>
      <c r="FE1119" s="8"/>
      <c r="FF1119" s="8"/>
      <c r="FG1119" s="8"/>
      <c r="FH1119" s="8"/>
      <c r="FI1119" s="8"/>
      <c r="FJ1119" s="8"/>
      <c r="FK1119" s="8"/>
      <c r="FL1119" s="8"/>
      <c r="FM1119" s="8"/>
      <c r="FN1119" s="8"/>
      <c r="FO1119" s="8"/>
      <c r="FP1119" s="8"/>
      <c r="FQ1119" s="8"/>
      <c r="FR1119" s="8"/>
      <c r="FS1119" s="8"/>
      <c r="FT1119" s="8"/>
      <c r="FU1119" s="8"/>
      <c r="FV1119" s="8"/>
      <c r="FW1119" s="8"/>
      <c r="FX1119" s="8"/>
      <c r="FY1119" s="8"/>
      <c r="FZ1119" s="8"/>
      <c r="GA1119" s="8"/>
      <c r="GB1119" s="8"/>
      <c r="GC1119" s="8"/>
      <c r="GD1119" s="8"/>
      <c r="GE1119" s="8"/>
      <c r="GF1119" s="8"/>
      <c r="GG1119" s="8"/>
      <c r="GH1119" s="8"/>
      <c r="GI1119" s="8"/>
      <c r="GJ1119" s="8"/>
      <c r="GK1119" s="8"/>
      <c r="GL1119" s="8"/>
      <c r="GM1119" s="8"/>
      <c r="GN1119" s="8"/>
      <c r="GO1119" s="8"/>
      <c r="GP1119" s="8"/>
      <c r="GQ1119" s="8"/>
      <c r="GR1119" s="8"/>
      <c r="GS1119" s="8"/>
      <c r="GT1119" s="8"/>
      <c r="GU1119" s="8"/>
      <c r="GV1119" s="8"/>
      <c r="GW1119" s="8"/>
      <c r="GX1119" s="8"/>
      <c r="GY1119" s="8"/>
      <c r="GZ1119" s="8"/>
      <c r="HA1119" s="8"/>
      <c r="HB1119" s="8"/>
      <c r="HC1119" s="8"/>
      <c r="HD1119" s="8"/>
      <c r="HE1119" s="8"/>
      <c r="HF1119" s="8"/>
      <c r="HG1119" s="8"/>
      <c r="HH1119" s="8"/>
      <c r="HI1119" s="8"/>
      <c r="HJ1119" s="8"/>
      <c r="HK1119" s="8"/>
      <c r="HL1119" s="8"/>
      <c r="HM1119" s="8"/>
      <c r="HN1119" s="8"/>
      <c r="HO1119" s="8"/>
      <c r="HP1119" s="8"/>
      <c r="HQ1119" s="8"/>
      <c r="HR1119" s="8"/>
      <c r="HS1119" s="8"/>
      <c r="HT1119" s="8"/>
      <c r="HU1119" s="8"/>
      <c r="HV1119" s="8"/>
      <c r="HW1119" s="8"/>
      <c r="HX1119" s="8"/>
      <c r="HY1119" s="8"/>
      <c r="HZ1119" s="8"/>
      <c r="IA1119" s="8"/>
      <c r="IB1119" s="8"/>
      <c r="IC1119" s="8"/>
      <c r="ID1119" s="8"/>
      <c r="IE1119" s="8"/>
      <c r="IF1119" s="8"/>
    </row>
    <row r="1120" spans="1:240" ht="30" customHeight="1">
      <c r="A1120" s="5">
        <v>1118</v>
      </c>
      <c r="B1120" s="5"/>
      <c r="C1120" s="5"/>
      <c r="D1120" s="5" t="s">
        <v>68</v>
      </c>
      <c r="E1120" s="5" t="s">
        <v>48</v>
      </c>
      <c r="F1120" s="5" t="s">
        <v>48</v>
      </c>
      <c r="G1120" s="5" t="s">
        <v>48</v>
      </c>
      <c r="H1120" s="15">
        <f>10280*0.454</f>
        <v>4667.12</v>
      </c>
      <c r="I1120" s="5" t="s">
        <v>13</v>
      </c>
      <c r="J1120" s="15">
        <f>(3*247)/4.4</f>
        <v>168.40909090909091</v>
      </c>
      <c r="K1120" s="15">
        <f t="shared" si="33"/>
        <v>5.5560000000000009</v>
      </c>
      <c r="L1120" s="5">
        <v>868.7</v>
      </c>
      <c r="M1120" s="5">
        <f t="shared" si="32"/>
        <v>3.8800000000000026</v>
      </c>
      <c r="N1120" s="5"/>
      <c r="O1120" s="15">
        <f>60500*1.6978</f>
        <v>102716.9</v>
      </c>
      <c r="P1120" s="5"/>
      <c r="Q1120" s="5"/>
      <c r="R1120" s="5">
        <v>2</v>
      </c>
      <c r="S1120" s="5"/>
      <c r="T1120" s="5"/>
      <c r="U1120" s="5"/>
      <c r="V1120" s="5">
        <f>7.5*0.7457*R1120</f>
        <v>11.185500000000001</v>
      </c>
      <c r="W1120" s="5"/>
      <c r="X1120" s="5"/>
      <c r="Y1120" s="5" t="s">
        <v>48</v>
      </c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16" t="s">
        <v>48</v>
      </c>
      <c r="AN1120" s="5"/>
      <c r="AO1120" s="8"/>
      <c r="AP1120" s="8"/>
      <c r="AQ1120" s="8"/>
      <c r="AR1120" s="8"/>
      <c r="AS1120" s="8"/>
      <c r="AT1120" s="8"/>
      <c r="AU1120" s="8"/>
      <c r="AV1120" s="8"/>
      <c r="AW1120" s="8"/>
      <c r="AX1120" s="8"/>
      <c r="AY1120" s="8"/>
      <c r="AZ1120" s="8"/>
      <c r="BA1120" s="8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8"/>
      <c r="BS1120" s="8"/>
      <c r="BT1120" s="8"/>
      <c r="BU1120" s="8"/>
      <c r="BV1120" s="8"/>
      <c r="BW1120" s="8"/>
      <c r="BX1120" s="8"/>
      <c r="BY1120" s="8"/>
      <c r="BZ1120" s="8"/>
      <c r="CA1120" s="8"/>
      <c r="CB1120" s="8"/>
      <c r="CC1120" s="8"/>
      <c r="CD1120" s="8"/>
      <c r="CE1120" s="8"/>
      <c r="CF1120" s="8"/>
      <c r="CG1120" s="8"/>
      <c r="CH1120" s="8"/>
      <c r="CI1120" s="8"/>
      <c r="CJ1120" s="8"/>
      <c r="CK1120" s="8"/>
      <c r="CL1120" s="8"/>
      <c r="CM1120" s="8"/>
      <c r="CN1120" s="8"/>
      <c r="CO1120" s="8"/>
      <c r="CP1120" s="8"/>
      <c r="CQ1120" s="8"/>
      <c r="CR1120" s="8"/>
      <c r="CS1120" s="8"/>
      <c r="CT1120" s="8"/>
      <c r="CU1120" s="8"/>
      <c r="CV1120" s="8"/>
      <c r="CW1120" s="8"/>
      <c r="CX1120" s="8"/>
      <c r="CY1120" s="8"/>
      <c r="CZ1120" s="8"/>
      <c r="DA1120" s="8"/>
      <c r="DB1120" s="8"/>
      <c r="DC1120" s="8"/>
      <c r="DD1120" s="8"/>
      <c r="DE1120" s="8"/>
      <c r="DF1120" s="8"/>
      <c r="DG1120" s="8"/>
      <c r="DH1120" s="8"/>
      <c r="DI1120" s="8"/>
      <c r="DJ1120" s="8"/>
      <c r="DK1120" s="8"/>
      <c r="DL1120" s="8"/>
      <c r="DM1120" s="8"/>
      <c r="DN1120" s="8"/>
      <c r="DO1120" s="8"/>
      <c r="DP1120" s="8"/>
      <c r="DQ1120" s="8"/>
      <c r="DR1120" s="8"/>
      <c r="DS1120" s="8"/>
      <c r="DT1120" s="8"/>
      <c r="DU1120" s="8"/>
      <c r="DV1120" s="8"/>
      <c r="DW1120" s="8"/>
      <c r="DX1120" s="8"/>
      <c r="DY1120" s="8"/>
      <c r="DZ1120" s="8"/>
      <c r="EA1120" s="8"/>
      <c r="EB1120" s="8"/>
      <c r="EC1120" s="8"/>
      <c r="ED1120" s="8"/>
      <c r="EE1120" s="8"/>
      <c r="EF1120" s="8"/>
      <c r="EG1120" s="8"/>
      <c r="EH1120" s="8"/>
      <c r="EI1120" s="8"/>
      <c r="EJ1120" s="8"/>
      <c r="EK1120" s="8"/>
      <c r="EL1120" s="8"/>
      <c r="EM1120" s="8"/>
      <c r="EN1120" s="8"/>
      <c r="EO1120" s="8"/>
      <c r="EP1120" s="8"/>
      <c r="EQ1120" s="8"/>
      <c r="ER1120" s="8"/>
      <c r="ES1120" s="8"/>
      <c r="ET1120" s="8"/>
      <c r="EU1120" s="8"/>
      <c r="EV1120" s="8"/>
      <c r="EW1120" s="8"/>
      <c r="EX1120" s="8"/>
      <c r="EY1120" s="8"/>
      <c r="EZ1120" s="8"/>
      <c r="FA1120" s="8"/>
      <c r="FB1120" s="8"/>
      <c r="FC1120" s="8"/>
      <c r="FD1120" s="8"/>
      <c r="FE1120" s="8"/>
      <c r="FF1120" s="8"/>
      <c r="FG1120" s="8"/>
      <c r="FH1120" s="8"/>
      <c r="FI1120" s="8"/>
      <c r="FJ1120" s="8"/>
      <c r="FK1120" s="8"/>
      <c r="FL1120" s="8"/>
      <c r="FM1120" s="8"/>
      <c r="FN1120" s="8"/>
      <c r="FO1120" s="8"/>
      <c r="FP1120" s="8"/>
      <c r="FQ1120" s="8"/>
      <c r="FR1120" s="8"/>
      <c r="FS1120" s="8"/>
      <c r="FT1120" s="8"/>
      <c r="FU1120" s="8"/>
      <c r="FV1120" s="8"/>
      <c r="FW1120" s="8"/>
      <c r="FX1120" s="8"/>
      <c r="FY1120" s="8"/>
      <c r="FZ1120" s="8"/>
      <c r="GA1120" s="8"/>
      <c r="GB1120" s="8"/>
      <c r="GC1120" s="8"/>
      <c r="GD1120" s="8"/>
      <c r="GE1120" s="8"/>
      <c r="GF1120" s="8"/>
      <c r="GG1120" s="8"/>
      <c r="GH1120" s="8"/>
      <c r="GI1120" s="8"/>
      <c r="GJ1120" s="8"/>
      <c r="GK1120" s="8"/>
      <c r="GL1120" s="8"/>
      <c r="GM1120" s="8"/>
      <c r="GN1120" s="8"/>
      <c r="GO1120" s="8"/>
      <c r="GP1120" s="8"/>
      <c r="GQ1120" s="8"/>
      <c r="GR1120" s="8"/>
      <c r="GS1120" s="8"/>
      <c r="GT1120" s="8"/>
      <c r="GU1120" s="8"/>
      <c r="GV1120" s="8"/>
      <c r="GW1120" s="8"/>
      <c r="GX1120" s="8"/>
      <c r="GY1120" s="8"/>
      <c r="GZ1120" s="8"/>
      <c r="HA1120" s="8"/>
      <c r="HB1120" s="8"/>
      <c r="HC1120" s="8"/>
      <c r="HD1120" s="8"/>
      <c r="HE1120" s="8"/>
      <c r="HF1120" s="8"/>
      <c r="HG1120" s="8"/>
      <c r="HH1120" s="8"/>
      <c r="HI1120" s="8"/>
      <c r="HJ1120" s="8"/>
      <c r="HK1120" s="8"/>
      <c r="HL1120" s="8"/>
      <c r="HM1120" s="8"/>
      <c r="HN1120" s="8"/>
      <c r="HO1120" s="8"/>
      <c r="HP1120" s="8"/>
      <c r="HQ1120" s="8"/>
      <c r="HR1120" s="8"/>
      <c r="HS1120" s="8"/>
      <c r="HT1120" s="8"/>
      <c r="HU1120" s="8"/>
      <c r="HV1120" s="8"/>
      <c r="HW1120" s="8"/>
      <c r="HX1120" s="8"/>
      <c r="HY1120" s="8"/>
      <c r="HZ1120" s="8"/>
      <c r="IA1120" s="8"/>
      <c r="IB1120" s="8"/>
      <c r="IC1120" s="8"/>
      <c r="ID1120" s="8"/>
      <c r="IE1120" s="8"/>
      <c r="IF1120" s="8"/>
    </row>
    <row r="1121" spans="1:240" ht="30" customHeight="1">
      <c r="A1121" s="5">
        <v>1119</v>
      </c>
      <c r="B1121" s="5"/>
      <c r="C1121" s="5"/>
      <c r="D1121" s="5" t="s">
        <v>68</v>
      </c>
      <c r="E1121" s="5" t="s">
        <v>48</v>
      </c>
      <c r="F1121" s="5" t="s">
        <v>48</v>
      </c>
      <c r="G1121" s="5" t="s">
        <v>48</v>
      </c>
      <c r="H1121" s="15">
        <f>10600*0.454</f>
        <v>4812.4000000000005</v>
      </c>
      <c r="I1121" s="5" t="s">
        <v>13</v>
      </c>
      <c r="J1121" s="15">
        <f>(3*250)/4.4</f>
        <v>170.45454545454544</v>
      </c>
      <c r="K1121" s="15">
        <f t="shared" si="33"/>
        <v>5.5560000000000009</v>
      </c>
      <c r="L1121" s="5">
        <v>879.2</v>
      </c>
      <c r="M1121" s="5">
        <f t="shared" si="32"/>
        <v>3.8800000000000026</v>
      </c>
      <c r="N1121" s="5"/>
      <c r="O1121" s="15">
        <f>52300*1.6978</f>
        <v>88794.94</v>
      </c>
      <c r="P1121" s="5"/>
      <c r="Q1121" s="5"/>
      <c r="R1121" s="5">
        <v>2</v>
      </c>
      <c r="S1121" s="5"/>
      <c r="T1121" s="5"/>
      <c r="U1121" s="5"/>
      <c r="V1121" s="5">
        <f>5*0.7457*R1121</f>
        <v>7.4570000000000007</v>
      </c>
      <c r="W1121" s="5"/>
      <c r="X1121" s="5"/>
      <c r="Y1121" s="5" t="s">
        <v>48</v>
      </c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16" t="s">
        <v>48</v>
      </c>
      <c r="AN1121" s="5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8"/>
      <c r="BS1121" s="8"/>
      <c r="BT1121" s="8"/>
      <c r="BU1121" s="8"/>
      <c r="BV1121" s="8"/>
      <c r="BW1121" s="8"/>
      <c r="BX1121" s="8"/>
      <c r="BY1121" s="8"/>
      <c r="BZ1121" s="8"/>
      <c r="CA1121" s="8"/>
      <c r="CB1121" s="8"/>
      <c r="CC1121" s="8"/>
      <c r="CD1121" s="8"/>
      <c r="CE1121" s="8"/>
      <c r="CF1121" s="8"/>
      <c r="CG1121" s="8"/>
      <c r="CH1121" s="8"/>
      <c r="CI1121" s="8"/>
      <c r="CJ1121" s="8"/>
      <c r="CK1121" s="8"/>
      <c r="CL1121" s="8"/>
      <c r="CM1121" s="8"/>
      <c r="CN1121" s="8"/>
      <c r="CO1121" s="8"/>
      <c r="CP1121" s="8"/>
      <c r="CQ1121" s="8"/>
      <c r="CR1121" s="8"/>
      <c r="CS1121" s="8"/>
      <c r="CT1121" s="8"/>
      <c r="CU1121" s="8"/>
      <c r="CV1121" s="8"/>
      <c r="CW1121" s="8"/>
      <c r="CX1121" s="8"/>
      <c r="CY1121" s="8"/>
      <c r="CZ1121" s="8"/>
      <c r="DA1121" s="8"/>
      <c r="DB1121" s="8"/>
      <c r="DC1121" s="8"/>
      <c r="DD1121" s="8"/>
      <c r="DE1121" s="8"/>
      <c r="DF1121" s="8"/>
      <c r="DG1121" s="8"/>
      <c r="DH1121" s="8"/>
      <c r="DI1121" s="8"/>
      <c r="DJ1121" s="8"/>
      <c r="DK1121" s="8"/>
      <c r="DL1121" s="8"/>
      <c r="DM1121" s="8"/>
      <c r="DN1121" s="8"/>
      <c r="DO1121" s="8"/>
      <c r="DP1121" s="8"/>
      <c r="DQ1121" s="8"/>
      <c r="DR1121" s="8"/>
      <c r="DS1121" s="8"/>
      <c r="DT1121" s="8"/>
      <c r="DU1121" s="8"/>
      <c r="DV1121" s="8"/>
      <c r="DW1121" s="8"/>
      <c r="DX1121" s="8"/>
      <c r="DY1121" s="8"/>
      <c r="DZ1121" s="8"/>
      <c r="EA1121" s="8"/>
      <c r="EB1121" s="8"/>
      <c r="EC1121" s="8"/>
      <c r="ED1121" s="8"/>
      <c r="EE1121" s="8"/>
      <c r="EF1121" s="8"/>
      <c r="EG1121" s="8"/>
      <c r="EH1121" s="8"/>
      <c r="EI1121" s="8"/>
      <c r="EJ1121" s="8"/>
      <c r="EK1121" s="8"/>
      <c r="EL1121" s="8"/>
      <c r="EM1121" s="8"/>
      <c r="EN1121" s="8"/>
      <c r="EO1121" s="8"/>
      <c r="EP1121" s="8"/>
      <c r="EQ1121" s="8"/>
      <c r="ER1121" s="8"/>
      <c r="ES1121" s="8"/>
      <c r="ET1121" s="8"/>
      <c r="EU1121" s="8"/>
      <c r="EV1121" s="8"/>
      <c r="EW1121" s="8"/>
      <c r="EX1121" s="8"/>
      <c r="EY1121" s="8"/>
      <c r="EZ1121" s="8"/>
      <c r="FA1121" s="8"/>
      <c r="FB1121" s="8"/>
      <c r="FC1121" s="8"/>
      <c r="FD1121" s="8"/>
      <c r="FE1121" s="8"/>
      <c r="FF1121" s="8"/>
      <c r="FG1121" s="8"/>
      <c r="FH1121" s="8"/>
      <c r="FI1121" s="8"/>
      <c r="FJ1121" s="8"/>
      <c r="FK1121" s="8"/>
      <c r="FL1121" s="8"/>
      <c r="FM1121" s="8"/>
      <c r="FN1121" s="8"/>
      <c r="FO1121" s="8"/>
      <c r="FP1121" s="8"/>
      <c r="FQ1121" s="8"/>
      <c r="FR1121" s="8"/>
      <c r="FS1121" s="8"/>
      <c r="FT1121" s="8"/>
      <c r="FU1121" s="8"/>
      <c r="FV1121" s="8"/>
      <c r="FW1121" s="8"/>
      <c r="FX1121" s="8"/>
      <c r="FY1121" s="8"/>
      <c r="FZ1121" s="8"/>
      <c r="GA1121" s="8"/>
      <c r="GB1121" s="8"/>
      <c r="GC1121" s="8"/>
      <c r="GD1121" s="8"/>
      <c r="GE1121" s="8"/>
      <c r="GF1121" s="8"/>
      <c r="GG1121" s="8"/>
      <c r="GH1121" s="8"/>
      <c r="GI1121" s="8"/>
      <c r="GJ1121" s="8"/>
      <c r="GK1121" s="8"/>
      <c r="GL1121" s="8"/>
      <c r="GM1121" s="8"/>
      <c r="GN1121" s="8"/>
      <c r="GO1121" s="8"/>
      <c r="GP1121" s="8"/>
      <c r="GQ1121" s="8"/>
      <c r="GR1121" s="8"/>
      <c r="GS1121" s="8"/>
      <c r="GT1121" s="8"/>
      <c r="GU1121" s="8"/>
      <c r="GV1121" s="8"/>
      <c r="GW1121" s="8"/>
      <c r="GX1121" s="8"/>
      <c r="GY1121" s="8"/>
      <c r="GZ1121" s="8"/>
      <c r="HA1121" s="8"/>
      <c r="HB1121" s="8"/>
      <c r="HC1121" s="8"/>
      <c r="HD1121" s="8"/>
      <c r="HE1121" s="8"/>
      <c r="HF1121" s="8"/>
      <c r="HG1121" s="8"/>
      <c r="HH1121" s="8"/>
      <c r="HI1121" s="8"/>
      <c r="HJ1121" s="8"/>
      <c r="HK1121" s="8"/>
      <c r="HL1121" s="8"/>
      <c r="HM1121" s="8"/>
      <c r="HN1121" s="8"/>
      <c r="HO1121" s="8"/>
      <c r="HP1121" s="8"/>
      <c r="HQ1121" s="8"/>
      <c r="HR1121" s="8"/>
      <c r="HS1121" s="8"/>
      <c r="HT1121" s="8"/>
      <c r="HU1121" s="8"/>
      <c r="HV1121" s="8"/>
      <c r="HW1121" s="8"/>
      <c r="HX1121" s="8"/>
      <c r="HY1121" s="8"/>
      <c r="HZ1121" s="8"/>
      <c r="IA1121" s="8"/>
      <c r="IB1121" s="8"/>
      <c r="IC1121" s="8"/>
      <c r="ID1121" s="8"/>
      <c r="IE1121" s="8"/>
      <c r="IF1121" s="8"/>
    </row>
    <row r="1122" spans="1:240" ht="30" customHeight="1">
      <c r="A1122" s="5">
        <v>1120</v>
      </c>
      <c r="B1122" s="5"/>
      <c r="C1122" s="5"/>
      <c r="D1122" s="5" t="s">
        <v>68</v>
      </c>
      <c r="E1122" s="5" t="s">
        <v>48</v>
      </c>
      <c r="F1122" s="5" t="s">
        <v>48</v>
      </c>
      <c r="G1122" s="5" t="s">
        <v>48</v>
      </c>
      <c r="H1122" s="15">
        <f>10680*0.454</f>
        <v>4848.72</v>
      </c>
      <c r="I1122" s="5" t="s">
        <v>13</v>
      </c>
      <c r="J1122" s="15">
        <f>(3*277)/4.4</f>
        <v>188.86363636363635</v>
      </c>
      <c r="K1122" s="15">
        <f t="shared" si="33"/>
        <v>5.5560000000000009</v>
      </c>
      <c r="L1122" s="5">
        <v>974.2</v>
      </c>
      <c r="M1122" s="5">
        <f t="shared" si="32"/>
        <v>3.8800000000000026</v>
      </c>
      <c r="N1122" s="5"/>
      <c r="O1122" s="15">
        <f>59400*1.6978</f>
        <v>100849.31999999999</v>
      </c>
      <c r="P1122" s="5"/>
      <c r="Q1122" s="5"/>
      <c r="R1122" s="5">
        <v>2</v>
      </c>
      <c r="S1122" s="5"/>
      <c r="T1122" s="5"/>
      <c r="U1122" s="5"/>
      <c r="V1122" s="5">
        <f>7.5*0.7457*R1122</f>
        <v>11.185500000000001</v>
      </c>
      <c r="W1122" s="5"/>
      <c r="X1122" s="5"/>
      <c r="Y1122" s="5" t="s">
        <v>48</v>
      </c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16" t="s">
        <v>48</v>
      </c>
      <c r="AN1122" s="5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8"/>
      <c r="BS1122" s="8"/>
      <c r="BT1122" s="8"/>
      <c r="BU1122" s="8"/>
      <c r="BV1122" s="8"/>
      <c r="BW1122" s="8"/>
      <c r="BX1122" s="8"/>
      <c r="BY1122" s="8"/>
      <c r="BZ1122" s="8"/>
      <c r="CA1122" s="8"/>
      <c r="CB1122" s="8"/>
      <c r="CC1122" s="8"/>
      <c r="CD1122" s="8"/>
      <c r="CE1122" s="8"/>
      <c r="CF1122" s="8"/>
      <c r="CG1122" s="8"/>
      <c r="CH1122" s="8"/>
      <c r="CI1122" s="8"/>
      <c r="CJ1122" s="8"/>
      <c r="CK1122" s="8"/>
      <c r="CL1122" s="8"/>
      <c r="CM1122" s="8"/>
      <c r="CN1122" s="8"/>
      <c r="CO1122" s="8"/>
      <c r="CP1122" s="8"/>
      <c r="CQ1122" s="8"/>
      <c r="CR1122" s="8"/>
      <c r="CS1122" s="8"/>
      <c r="CT1122" s="8"/>
      <c r="CU1122" s="8"/>
      <c r="CV1122" s="8"/>
      <c r="CW1122" s="8"/>
      <c r="CX1122" s="8"/>
      <c r="CY1122" s="8"/>
      <c r="CZ1122" s="8"/>
      <c r="DA1122" s="8"/>
      <c r="DB1122" s="8"/>
      <c r="DC1122" s="8"/>
      <c r="DD1122" s="8"/>
      <c r="DE1122" s="8"/>
      <c r="DF1122" s="8"/>
      <c r="DG1122" s="8"/>
      <c r="DH1122" s="8"/>
      <c r="DI1122" s="8"/>
      <c r="DJ1122" s="8"/>
      <c r="DK1122" s="8"/>
      <c r="DL1122" s="8"/>
      <c r="DM1122" s="8"/>
      <c r="DN1122" s="8"/>
      <c r="DO1122" s="8"/>
      <c r="DP1122" s="8"/>
      <c r="DQ1122" s="8"/>
      <c r="DR1122" s="8"/>
      <c r="DS1122" s="8"/>
      <c r="DT1122" s="8"/>
      <c r="DU1122" s="8"/>
      <c r="DV1122" s="8"/>
      <c r="DW1122" s="8"/>
      <c r="DX1122" s="8"/>
      <c r="DY1122" s="8"/>
      <c r="DZ1122" s="8"/>
      <c r="EA1122" s="8"/>
      <c r="EB1122" s="8"/>
      <c r="EC1122" s="8"/>
      <c r="ED1122" s="8"/>
      <c r="EE1122" s="8"/>
      <c r="EF1122" s="8"/>
      <c r="EG1122" s="8"/>
      <c r="EH1122" s="8"/>
      <c r="EI1122" s="8"/>
      <c r="EJ1122" s="8"/>
      <c r="EK1122" s="8"/>
      <c r="EL1122" s="8"/>
      <c r="EM1122" s="8"/>
      <c r="EN1122" s="8"/>
      <c r="EO1122" s="8"/>
      <c r="EP1122" s="8"/>
      <c r="EQ1122" s="8"/>
      <c r="ER1122" s="8"/>
      <c r="ES1122" s="8"/>
      <c r="ET1122" s="8"/>
      <c r="EU1122" s="8"/>
      <c r="EV1122" s="8"/>
      <c r="EW1122" s="8"/>
      <c r="EX1122" s="8"/>
      <c r="EY1122" s="8"/>
      <c r="EZ1122" s="8"/>
      <c r="FA1122" s="8"/>
      <c r="FB1122" s="8"/>
      <c r="FC1122" s="8"/>
      <c r="FD1122" s="8"/>
      <c r="FE1122" s="8"/>
      <c r="FF1122" s="8"/>
      <c r="FG1122" s="8"/>
      <c r="FH1122" s="8"/>
      <c r="FI1122" s="8"/>
      <c r="FJ1122" s="8"/>
      <c r="FK1122" s="8"/>
      <c r="FL1122" s="8"/>
      <c r="FM1122" s="8"/>
      <c r="FN1122" s="8"/>
      <c r="FO1122" s="8"/>
      <c r="FP1122" s="8"/>
      <c r="FQ1122" s="8"/>
      <c r="FR1122" s="8"/>
      <c r="FS1122" s="8"/>
      <c r="FT1122" s="8"/>
      <c r="FU1122" s="8"/>
      <c r="FV1122" s="8"/>
      <c r="FW1122" s="8"/>
      <c r="FX1122" s="8"/>
      <c r="FY1122" s="8"/>
      <c r="FZ1122" s="8"/>
      <c r="GA1122" s="8"/>
      <c r="GB1122" s="8"/>
      <c r="GC1122" s="8"/>
      <c r="GD1122" s="8"/>
      <c r="GE1122" s="8"/>
      <c r="GF1122" s="8"/>
      <c r="GG1122" s="8"/>
      <c r="GH1122" s="8"/>
      <c r="GI1122" s="8"/>
      <c r="GJ1122" s="8"/>
      <c r="GK1122" s="8"/>
      <c r="GL1122" s="8"/>
      <c r="GM1122" s="8"/>
      <c r="GN1122" s="8"/>
      <c r="GO1122" s="8"/>
      <c r="GP1122" s="8"/>
      <c r="GQ1122" s="8"/>
      <c r="GR1122" s="8"/>
      <c r="GS1122" s="8"/>
      <c r="GT1122" s="8"/>
      <c r="GU1122" s="8"/>
      <c r="GV1122" s="8"/>
      <c r="GW1122" s="8"/>
      <c r="GX1122" s="8"/>
      <c r="GY1122" s="8"/>
      <c r="GZ1122" s="8"/>
      <c r="HA1122" s="8"/>
      <c r="HB1122" s="8"/>
      <c r="HC1122" s="8"/>
      <c r="HD1122" s="8"/>
      <c r="HE1122" s="8"/>
      <c r="HF1122" s="8"/>
      <c r="HG1122" s="8"/>
      <c r="HH1122" s="8"/>
      <c r="HI1122" s="8"/>
      <c r="HJ1122" s="8"/>
      <c r="HK1122" s="8"/>
      <c r="HL1122" s="8"/>
      <c r="HM1122" s="8"/>
      <c r="HN1122" s="8"/>
      <c r="HO1122" s="8"/>
      <c r="HP1122" s="8"/>
      <c r="HQ1122" s="8"/>
      <c r="HR1122" s="8"/>
      <c r="HS1122" s="8"/>
      <c r="HT1122" s="8"/>
      <c r="HU1122" s="8"/>
      <c r="HV1122" s="8"/>
      <c r="HW1122" s="8"/>
      <c r="HX1122" s="8"/>
      <c r="HY1122" s="8"/>
      <c r="HZ1122" s="8"/>
      <c r="IA1122" s="8"/>
      <c r="IB1122" s="8"/>
      <c r="IC1122" s="8"/>
      <c r="ID1122" s="8"/>
      <c r="IE1122" s="8"/>
      <c r="IF1122" s="8"/>
    </row>
    <row r="1123" spans="1:240" ht="30" customHeight="1">
      <c r="A1123" s="5">
        <v>1121</v>
      </c>
      <c r="B1123" s="5"/>
      <c r="C1123" s="5"/>
      <c r="D1123" s="5" t="s">
        <v>68</v>
      </c>
      <c r="E1123" s="5" t="s">
        <v>48</v>
      </c>
      <c r="F1123" s="5" t="s">
        <v>48</v>
      </c>
      <c r="G1123" s="5" t="s">
        <v>48</v>
      </c>
      <c r="H1123" s="15">
        <f>10740*0.454</f>
        <v>4875.96</v>
      </c>
      <c r="I1123" s="5" t="s">
        <v>13</v>
      </c>
      <c r="J1123" s="15">
        <f>(3*302)/4.4</f>
        <v>205.90909090909091</v>
      </c>
      <c r="K1123" s="15">
        <f t="shared" si="33"/>
        <v>5.5560000000000009</v>
      </c>
      <c r="L1123" s="5">
        <v>1062.0999999999999</v>
      </c>
      <c r="M1123" s="5">
        <f t="shared" si="32"/>
        <v>3.8800000000000026</v>
      </c>
      <c r="N1123" s="5"/>
      <c r="O1123" s="15">
        <f>65100*1.6978</f>
        <v>110526.78</v>
      </c>
      <c r="P1123" s="5"/>
      <c r="Q1123" s="5"/>
      <c r="R1123" s="5">
        <v>2</v>
      </c>
      <c r="S1123" s="5"/>
      <c r="T1123" s="5"/>
      <c r="U1123" s="5"/>
      <c r="V1123" s="5">
        <f>10*0.7457*R1123</f>
        <v>14.914000000000001</v>
      </c>
      <c r="W1123" s="5"/>
      <c r="X1123" s="5"/>
      <c r="Y1123" s="5" t="s">
        <v>48</v>
      </c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16" t="s">
        <v>48</v>
      </c>
      <c r="AN1123" s="5"/>
      <c r="AO1123" s="8"/>
      <c r="AP1123" s="8"/>
      <c r="AQ1123" s="8"/>
      <c r="AR1123" s="8"/>
      <c r="AS1123" s="8"/>
      <c r="AT1123" s="8"/>
      <c r="AU1123" s="8"/>
      <c r="AV1123" s="8"/>
      <c r="AW1123" s="8"/>
      <c r="AX1123" s="8"/>
      <c r="AY1123" s="8"/>
      <c r="AZ1123" s="8"/>
      <c r="BA1123" s="8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8"/>
      <c r="BS1123" s="8"/>
      <c r="BT1123" s="8"/>
      <c r="BU1123" s="8"/>
      <c r="BV1123" s="8"/>
      <c r="BW1123" s="8"/>
      <c r="BX1123" s="8"/>
      <c r="BY1123" s="8"/>
      <c r="BZ1123" s="8"/>
      <c r="CA1123" s="8"/>
      <c r="CB1123" s="8"/>
      <c r="CC1123" s="8"/>
      <c r="CD1123" s="8"/>
      <c r="CE1123" s="8"/>
      <c r="CF1123" s="8"/>
      <c r="CG1123" s="8"/>
      <c r="CH1123" s="8"/>
      <c r="CI1123" s="8"/>
      <c r="CJ1123" s="8"/>
      <c r="CK1123" s="8"/>
      <c r="CL1123" s="8"/>
      <c r="CM1123" s="8"/>
      <c r="CN1123" s="8"/>
      <c r="CO1123" s="8"/>
      <c r="CP1123" s="8"/>
      <c r="CQ1123" s="8"/>
      <c r="CR1123" s="8"/>
      <c r="CS1123" s="8"/>
      <c r="CT1123" s="8"/>
      <c r="CU1123" s="8"/>
      <c r="CV1123" s="8"/>
      <c r="CW1123" s="8"/>
      <c r="CX1123" s="8"/>
      <c r="CY1123" s="8"/>
      <c r="CZ1123" s="8"/>
      <c r="DA1123" s="8"/>
      <c r="DB1123" s="8"/>
      <c r="DC1123" s="8"/>
      <c r="DD1123" s="8"/>
      <c r="DE1123" s="8"/>
      <c r="DF1123" s="8"/>
      <c r="DG1123" s="8"/>
      <c r="DH1123" s="8"/>
      <c r="DI1123" s="8"/>
      <c r="DJ1123" s="8"/>
      <c r="DK1123" s="8"/>
      <c r="DL1123" s="8"/>
      <c r="DM1123" s="8"/>
      <c r="DN1123" s="8"/>
      <c r="DO1123" s="8"/>
      <c r="DP1123" s="8"/>
      <c r="DQ1123" s="8"/>
      <c r="DR1123" s="8"/>
      <c r="DS1123" s="8"/>
      <c r="DT1123" s="8"/>
      <c r="DU1123" s="8"/>
      <c r="DV1123" s="8"/>
      <c r="DW1123" s="8"/>
      <c r="DX1123" s="8"/>
      <c r="DY1123" s="8"/>
      <c r="DZ1123" s="8"/>
      <c r="EA1123" s="8"/>
      <c r="EB1123" s="8"/>
      <c r="EC1123" s="8"/>
      <c r="ED1123" s="8"/>
      <c r="EE1123" s="8"/>
      <c r="EF1123" s="8"/>
      <c r="EG1123" s="8"/>
      <c r="EH1123" s="8"/>
      <c r="EI1123" s="8"/>
      <c r="EJ1123" s="8"/>
      <c r="EK1123" s="8"/>
      <c r="EL1123" s="8"/>
      <c r="EM1123" s="8"/>
      <c r="EN1123" s="8"/>
      <c r="EO1123" s="8"/>
      <c r="EP1123" s="8"/>
      <c r="EQ1123" s="8"/>
      <c r="ER1123" s="8"/>
      <c r="ES1123" s="8"/>
      <c r="ET1123" s="8"/>
      <c r="EU1123" s="8"/>
      <c r="EV1123" s="8"/>
      <c r="EW1123" s="8"/>
      <c r="EX1123" s="8"/>
      <c r="EY1123" s="8"/>
      <c r="EZ1123" s="8"/>
      <c r="FA1123" s="8"/>
      <c r="FB1123" s="8"/>
      <c r="FC1123" s="8"/>
      <c r="FD1123" s="8"/>
      <c r="FE1123" s="8"/>
      <c r="FF1123" s="8"/>
      <c r="FG1123" s="8"/>
      <c r="FH1123" s="8"/>
      <c r="FI1123" s="8"/>
      <c r="FJ1123" s="8"/>
      <c r="FK1123" s="8"/>
      <c r="FL1123" s="8"/>
      <c r="FM1123" s="8"/>
      <c r="FN1123" s="8"/>
      <c r="FO1123" s="8"/>
      <c r="FP1123" s="8"/>
      <c r="FQ1123" s="8"/>
      <c r="FR1123" s="8"/>
      <c r="FS1123" s="8"/>
      <c r="FT1123" s="8"/>
      <c r="FU1123" s="8"/>
      <c r="FV1123" s="8"/>
      <c r="FW1123" s="8"/>
      <c r="FX1123" s="8"/>
      <c r="FY1123" s="8"/>
      <c r="FZ1123" s="8"/>
      <c r="GA1123" s="8"/>
      <c r="GB1123" s="8"/>
      <c r="GC1123" s="8"/>
      <c r="GD1123" s="8"/>
      <c r="GE1123" s="8"/>
      <c r="GF1123" s="8"/>
      <c r="GG1123" s="8"/>
      <c r="GH1123" s="8"/>
      <c r="GI1123" s="8"/>
      <c r="GJ1123" s="8"/>
      <c r="GK1123" s="8"/>
      <c r="GL1123" s="8"/>
      <c r="GM1123" s="8"/>
      <c r="GN1123" s="8"/>
      <c r="GO1123" s="8"/>
      <c r="GP1123" s="8"/>
      <c r="GQ1123" s="8"/>
      <c r="GR1123" s="8"/>
      <c r="GS1123" s="8"/>
      <c r="GT1123" s="8"/>
      <c r="GU1123" s="8"/>
      <c r="GV1123" s="8"/>
      <c r="GW1123" s="8"/>
      <c r="GX1123" s="8"/>
      <c r="GY1123" s="8"/>
      <c r="GZ1123" s="8"/>
      <c r="HA1123" s="8"/>
      <c r="HB1123" s="8"/>
      <c r="HC1123" s="8"/>
      <c r="HD1123" s="8"/>
      <c r="HE1123" s="8"/>
      <c r="HF1123" s="8"/>
      <c r="HG1123" s="8"/>
      <c r="HH1123" s="8"/>
      <c r="HI1123" s="8"/>
      <c r="HJ1123" s="8"/>
      <c r="HK1123" s="8"/>
      <c r="HL1123" s="8"/>
      <c r="HM1123" s="8"/>
      <c r="HN1123" s="8"/>
      <c r="HO1123" s="8"/>
      <c r="HP1123" s="8"/>
      <c r="HQ1123" s="8"/>
      <c r="HR1123" s="8"/>
      <c r="HS1123" s="8"/>
      <c r="HT1123" s="8"/>
      <c r="HU1123" s="8"/>
      <c r="HV1123" s="8"/>
      <c r="HW1123" s="8"/>
      <c r="HX1123" s="8"/>
      <c r="HY1123" s="8"/>
      <c r="HZ1123" s="8"/>
      <c r="IA1123" s="8"/>
      <c r="IB1123" s="8"/>
      <c r="IC1123" s="8"/>
      <c r="ID1123" s="8"/>
      <c r="IE1123" s="8"/>
      <c r="IF1123" s="8"/>
    </row>
    <row r="1124" spans="1:240" ht="30" customHeight="1">
      <c r="A1124" s="5">
        <v>1122</v>
      </c>
      <c r="B1124" s="5"/>
      <c r="C1124" s="5"/>
      <c r="D1124" s="5" t="s">
        <v>68</v>
      </c>
      <c r="E1124" s="5" t="s">
        <v>48</v>
      </c>
      <c r="F1124" s="5" t="s">
        <v>48</v>
      </c>
      <c r="G1124" s="5" t="s">
        <v>48</v>
      </c>
      <c r="H1124" s="15">
        <f>11180*0.454</f>
        <v>5075.72</v>
      </c>
      <c r="I1124" s="5" t="s">
        <v>13</v>
      </c>
      <c r="J1124" s="15">
        <f>(3*315)/4.4</f>
        <v>214.77272727272725</v>
      </c>
      <c r="K1124" s="15">
        <f t="shared" si="33"/>
        <v>5.5560000000000009</v>
      </c>
      <c r="L1124" s="5">
        <v>1107.8</v>
      </c>
      <c r="M1124" s="5">
        <f t="shared" si="32"/>
        <v>3.8800000000000026</v>
      </c>
      <c r="N1124" s="5"/>
      <c r="O1124" s="15">
        <f>64000*1.6978</f>
        <v>108659.2</v>
      </c>
      <c r="P1124" s="5"/>
      <c r="Q1124" s="5"/>
      <c r="R1124" s="5">
        <v>2</v>
      </c>
      <c r="S1124" s="5"/>
      <c r="T1124" s="5"/>
      <c r="U1124" s="5"/>
      <c r="V1124" s="5">
        <f>10*0.7457*R1124</f>
        <v>14.914000000000001</v>
      </c>
      <c r="W1124" s="5"/>
      <c r="X1124" s="5"/>
      <c r="Y1124" s="5" t="s">
        <v>48</v>
      </c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16" t="s">
        <v>48</v>
      </c>
      <c r="AN1124" s="5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8"/>
      <c r="BS1124" s="8"/>
      <c r="BT1124" s="8"/>
      <c r="BU1124" s="8"/>
      <c r="BV1124" s="8"/>
      <c r="BW1124" s="8"/>
      <c r="BX1124" s="8"/>
      <c r="BY1124" s="8"/>
      <c r="BZ1124" s="8"/>
      <c r="CA1124" s="8"/>
      <c r="CB1124" s="8"/>
      <c r="CC1124" s="8"/>
      <c r="CD1124" s="8"/>
      <c r="CE1124" s="8"/>
      <c r="CF1124" s="8"/>
      <c r="CG1124" s="8"/>
      <c r="CH1124" s="8"/>
      <c r="CI1124" s="8"/>
      <c r="CJ1124" s="8"/>
      <c r="CK1124" s="8"/>
      <c r="CL1124" s="8"/>
      <c r="CM1124" s="8"/>
      <c r="CN1124" s="8"/>
      <c r="CO1124" s="8"/>
      <c r="CP1124" s="8"/>
      <c r="CQ1124" s="8"/>
      <c r="CR1124" s="8"/>
      <c r="CS1124" s="8"/>
      <c r="CT1124" s="8"/>
      <c r="CU1124" s="8"/>
      <c r="CV1124" s="8"/>
      <c r="CW1124" s="8"/>
      <c r="CX1124" s="8"/>
      <c r="CY1124" s="8"/>
      <c r="CZ1124" s="8"/>
      <c r="DA1124" s="8"/>
      <c r="DB1124" s="8"/>
      <c r="DC1124" s="8"/>
      <c r="DD1124" s="8"/>
      <c r="DE1124" s="8"/>
      <c r="DF1124" s="8"/>
      <c r="DG1124" s="8"/>
      <c r="DH1124" s="8"/>
      <c r="DI1124" s="8"/>
      <c r="DJ1124" s="8"/>
      <c r="DK1124" s="8"/>
      <c r="DL1124" s="8"/>
      <c r="DM1124" s="8"/>
      <c r="DN1124" s="8"/>
      <c r="DO1124" s="8"/>
      <c r="DP1124" s="8"/>
      <c r="DQ1124" s="8"/>
      <c r="DR1124" s="8"/>
      <c r="DS1124" s="8"/>
      <c r="DT1124" s="8"/>
      <c r="DU1124" s="8"/>
      <c r="DV1124" s="8"/>
      <c r="DW1124" s="8"/>
      <c r="DX1124" s="8"/>
      <c r="DY1124" s="8"/>
      <c r="DZ1124" s="8"/>
      <c r="EA1124" s="8"/>
      <c r="EB1124" s="8"/>
      <c r="EC1124" s="8"/>
      <c r="ED1124" s="8"/>
      <c r="EE1124" s="8"/>
      <c r="EF1124" s="8"/>
      <c r="EG1124" s="8"/>
      <c r="EH1124" s="8"/>
      <c r="EI1124" s="8"/>
      <c r="EJ1124" s="8"/>
      <c r="EK1124" s="8"/>
      <c r="EL1124" s="8"/>
      <c r="EM1124" s="8"/>
      <c r="EN1124" s="8"/>
      <c r="EO1124" s="8"/>
      <c r="EP1124" s="8"/>
      <c r="EQ1124" s="8"/>
      <c r="ER1124" s="8"/>
      <c r="ES1124" s="8"/>
      <c r="ET1124" s="8"/>
      <c r="EU1124" s="8"/>
      <c r="EV1124" s="8"/>
      <c r="EW1124" s="8"/>
      <c r="EX1124" s="8"/>
      <c r="EY1124" s="8"/>
      <c r="EZ1124" s="8"/>
      <c r="FA1124" s="8"/>
      <c r="FB1124" s="8"/>
      <c r="FC1124" s="8"/>
      <c r="FD1124" s="8"/>
      <c r="FE1124" s="8"/>
      <c r="FF1124" s="8"/>
      <c r="FG1124" s="8"/>
      <c r="FH1124" s="8"/>
      <c r="FI1124" s="8"/>
      <c r="FJ1124" s="8"/>
      <c r="FK1124" s="8"/>
      <c r="FL1124" s="8"/>
      <c r="FM1124" s="8"/>
      <c r="FN1124" s="8"/>
      <c r="FO1124" s="8"/>
      <c r="FP1124" s="8"/>
      <c r="FQ1124" s="8"/>
      <c r="FR1124" s="8"/>
      <c r="FS1124" s="8"/>
      <c r="FT1124" s="8"/>
      <c r="FU1124" s="8"/>
      <c r="FV1124" s="8"/>
      <c r="FW1124" s="8"/>
      <c r="FX1124" s="8"/>
      <c r="FY1124" s="8"/>
      <c r="FZ1124" s="8"/>
      <c r="GA1124" s="8"/>
      <c r="GB1124" s="8"/>
      <c r="GC1124" s="8"/>
      <c r="GD1124" s="8"/>
      <c r="GE1124" s="8"/>
      <c r="GF1124" s="8"/>
      <c r="GG1124" s="8"/>
      <c r="GH1124" s="8"/>
      <c r="GI1124" s="8"/>
      <c r="GJ1124" s="8"/>
      <c r="GK1124" s="8"/>
      <c r="GL1124" s="8"/>
      <c r="GM1124" s="8"/>
      <c r="GN1124" s="8"/>
      <c r="GO1124" s="8"/>
      <c r="GP1124" s="8"/>
      <c r="GQ1124" s="8"/>
      <c r="GR1124" s="8"/>
      <c r="GS1124" s="8"/>
      <c r="GT1124" s="8"/>
      <c r="GU1124" s="8"/>
      <c r="GV1124" s="8"/>
      <c r="GW1124" s="8"/>
      <c r="GX1124" s="8"/>
      <c r="GY1124" s="8"/>
      <c r="GZ1124" s="8"/>
      <c r="HA1124" s="8"/>
      <c r="HB1124" s="8"/>
      <c r="HC1124" s="8"/>
      <c r="HD1124" s="8"/>
      <c r="HE1124" s="8"/>
      <c r="HF1124" s="8"/>
      <c r="HG1124" s="8"/>
      <c r="HH1124" s="8"/>
      <c r="HI1124" s="8"/>
      <c r="HJ1124" s="8"/>
      <c r="HK1124" s="8"/>
      <c r="HL1124" s="8"/>
      <c r="HM1124" s="8"/>
      <c r="HN1124" s="8"/>
      <c r="HO1124" s="8"/>
      <c r="HP1124" s="8"/>
      <c r="HQ1124" s="8"/>
      <c r="HR1124" s="8"/>
      <c r="HS1124" s="8"/>
      <c r="HT1124" s="8"/>
      <c r="HU1124" s="8"/>
      <c r="HV1124" s="8"/>
      <c r="HW1124" s="8"/>
      <c r="HX1124" s="8"/>
      <c r="HY1124" s="8"/>
      <c r="HZ1124" s="8"/>
      <c r="IA1124" s="8"/>
      <c r="IB1124" s="8"/>
      <c r="IC1124" s="8"/>
      <c r="ID1124" s="8"/>
      <c r="IE1124" s="8"/>
      <c r="IF1124" s="8"/>
    </row>
    <row r="1125" spans="1:240" ht="30" customHeight="1">
      <c r="A1125" s="5">
        <v>1123</v>
      </c>
      <c r="B1125" s="5"/>
      <c r="C1125" s="5"/>
      <c r="D1125" s="5" t="s">
        <v>68</v>
      </c>
      <c r="E1125" s="5" t="s">
        <v>48</v>
      </c>
      <c r="F1125" s="5" t="s">
        <v>48</v>
      </c>
      <c r="G1125" s="5" t="s">
        <v>48</v>
      </c>
      <c r="H1125" s="15">
        <f>11320*0.454</f>
        <v>5139.28</v>
      </c>
      <c r="I1125" s="5" t="s">
        <v>13</v>
      </c>
      <c r="J1125" s="15">
        <f>(3*344)/4.4</f>
        <v>234.54545454545453</v>
      </c>
      <c r="K1125" s="15">
        <f t="shared" si="33"/>
        <v>5.5560000000000009</v>
      </c>
      <c r="L1125" s="5">
        <v>1209.8</v>
      </c>
      <c r="M1125" s="5">
        <f t="shared" si="32"/>
        <v>3.8800000000000026</v>
      </c>
      <c r="N1125" s="5"/>
      <c r="O1125" s="15">
        <f>72800*1.6978</f>
        <v>123599.84</v>
      </c>
      <c r="P1125" s="5"/>
      <c r="Q1125" s="5"/>
      <c r="R1125" s="5">
        <v>2</v>
      </c>
      <c r="S1125" s="5"/>
      <c r="T1125" s="5"/>
      <c r="U1125" s="5"/>
      <c r="V1125" s="5">
        <f>15*0.7457*R1125</f>
        <v>22.371000000000002</v>
      </c>
      <c r="W1125" s="5"/>
      <c r="X1125" s="5"/>
      <c r="Y1125" s="5" t="s">
        <v>48</v>
      </c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16" t="s">
        <v>48</v>
      </c>
      <c r="AN1125" s="5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8"/>
      <c r="BS1125" s="8"/>
      <c r="BT1125" s="8"/>
      <c r="BU1125" s="8"/>
      <c r="BV1125" s="8"/>
      <c r="BW1125" s="8"/>
      <c r="BX1125" s="8"/>
      <c r="BY1125" s="8"/>
      <c r="BZ1125" s="8"/>
      <c r="CA1125" s="8"/>
      <c r="CB1125" s="8"/>
      <c r="CC1125" s="8"/>
      <c r="CD1125" s="8"/>
      <c r="CE1125" s="8"/>
      <c r="CF1125" s="8"/>
      <c r="CG1125" s="8"/>
      <c r="CH1125" s="8"/>
      <c r="CI1125" s="8"/>
      <c r="CJ1125" s="8"/>
      <c r="CK1125" s="8"/>
      <c r="CL1125" s="8"/>
      <c r="CM1125" s="8"/>
      <c r="CN1125" s="8"/>
      <c r="CO1125" s="8"/>
      <c r="CP1125" s="8"/>
      <c r="CQ1125" s="8"/>
      <c r="CR1125" s="8"/>
      <c r="CS1125" s="8"/>
      <c r="CT1125" s="8"/>
      <c r="CU1125" s="8"/>
      <c r="CV1125" s="8"/>
      <c r="CW1125" s="8"/>
      <c r="CX1125" s="8"/>
      <c r="CY1125" s="8"/>
      <c r="CZ1125" s="8"/>
      <c r="DA1125" s="8"/>
      <c r="DB1125" s="8"/>
      <c r="DC1125" s="8"/>
      <c r="DD1125" s="8"/>
      <c r="DE1125" s="8"/>
      <c r="DF1125" s="8"/>
      <c r="DG1125" s="8"/>
      <c r="DH1125" s="8"/>
      <c r="DI1125" s="8"/>
      <c r="DJ1125" s="8"/>
      <c r="DK1125" s="8"/>
      <c r="DL1125" s="8"/>
      <c r="DM1125" s="8"/>
      <c r="DN1125" s="8"/>
      <c r="DO1125" s="8"/>
      <c r="DP1125" s="8"/>
      <c r="DQ1125" s="8"/>
      <c r="DR1125" s="8"/>
      <c r="DS1125" s="8"/>
      <c r="DT1125" s="8"/>
      <c r="DU1125" s="8"/>
      <c r="DV1125" s="8"/>
      <c r="DW1125" s="8"/>
      <c r="DX1125" s="8"/>
      <c r="DY1125" s="8"/>
      <c r="DZ1125" s="8"/>
      <c r="EA1125" s="8"/>
      <c r="EB1125" s="8"/>
      <c r="EC1125" s="8"/>
      <c r="ED1125" s="8"/>
      <c r="EE1125" s="8"/>
      <c r="EF1125" s="8"/>
      <c r="EG1125" s="8"/>
      <c r="EH1125" s="8"/>
      <c r="EI1125" s="8"/>
      <c r="EJ1125" s="8"/>
      <c r="EK1125" s="8"/>
      <c r="EL1125" s="8"/>
      <c r="EM1125" s="8"/>
      <c r="EN1125" s="8"/>
      <c r="EO1125" s="8"/>
      <c r="EP1125" s="8"/>
      <c r="EQ1125" s="8"/>
      <c r="ER1125" s="8"/>
      <c r="ES1125" s="8"/>
      <c r="ET1125" s="8"/>
      <c r="EU1125" s="8"/>
      <c r="EV1125" s="8"/>
      <c r="EW1125" s="8"/>
      <c r="EX1125" s="8"/>
      <c r="EY1125" s="8"/>
      <c r="EZ1125" s="8"/>
      <c r="FA1125" s="8"/>
      <c r="FB1125" s="8"/>
      <c r="FC1125" s="8"/>
      <c r="FD1125" s="8"/>
      <c r="FE1125" s="8"/>
      <c r="FF1125" s="8"/>
      <c r="FG1125" s="8"/>
      <c r="FH1125" s="8"/>
      <c r="FI1125" s="8"/>
      <c r="FJ1125" s="8"/>
      <c r="FK1125" s="8"/>
      <c r="FL1125" s="8"/>
      <c r="FM1125" s="8"/>
      <c r="FN1125" s="8"/>
      <c r="FO1125" s="8"/>
      <c r="FP1125" s="8"/>
      <c r="FQ1125" s="8"/>
      <c r="FR1125" s="8"/>
      <c r="FS1125" s="8"/>
      <c r="FT1125" s="8"/>
      <c r="FU1125" s="8"/>
      <c r="FV1125" s="8"/>
      <c r="FW1125" s="8"/>
      <c r="FX1125" s="8"/>
      <c r="FY1125" s="8"/>
      <c r="FZ1125" s="8"/>
      <c r="GA1125" s="8"/>
      <c r="GB1125" s="8"/>
      <c r="GC1125" s="8"/>
      <c r="GD1125" s="8"/>
      <c r="GE1125" s="8"/>
      <c r="GF1125" s="8"/>
      <c r="GG1125" s="8"/>
      <c r="GH1125" s="8"/>
      <c r="GI1125" s="8"/>
      <c r="GJ1125" s="8"/>
      <c r="GK1125" s="8"/>
      <c r="GL1125" s="8"/>
      <c r="GM1125" s="8"/>
      <c r="GN1125" s="8"/>
      <c r="GO1125" s="8"/>
      <c r="GP1125" s="8"/>
      <c r="GQ1125" s="8"/>
      <c r="GR1125" s="8"/>
      <c r="GS1125" s="8"/>
      <c r="GT1125" s="8"/>
      <c r="GU1125" s="8"/>
      <c r="GV1125" s="8"/>
      <c r="GW1125" s="8"/>
      <c r="GX1125" s="8"/>
      <c r="GY1125" s="8"/>
      <c r="GZ1125" s="8"/>
      <c r="HA1125" s="8"/>
      <c r="HB1125" s="8"/>
      <c r="HC1125" s="8"/>
      <c r="HD1125" s="8"/>
      <c r="HE1125" s="8"/>
      <c r="HF1125" s="8"/>
      <c r="HG1125" s="8"/>
      <c r="HH1125" s="8"/>
      <c r="HI1125" s="8"/>
      <c r="HJ1125" s="8"/>
      <c r="HK1125" s="8"/>
      <c r="HL1125" s="8"/>
      <c r="HM1125" s="8"/>
      <c r="HN1125" s="8"/>
      <c r="HO1125" s="8"/>
      <c r="HP1125" s="8"/>
      <c r="HQ1125" s="8"/>
      <c r="HR1125" s="8"/>
      <c r="HS1125" s="8"/>
      <c r="HT1125" s="8"/>
      <c r="HU1125" s="8"/>
      <c r="HV1125" s="8"/>
      <c r="HW1125" s="8"/>
      <c r="HX1125" s="8"/>
      <c r="HY1125" s="8"/>
      <c r="HZ1125" s="8"/>
      <c r="IA1125" s="8"/>
      <c r="IB1125" s="8"/>
      <c r="IC1125" s="8"/>
      <c r="ID1125" s="8"/>
      <c r="IE1125" s="8"/>
      <c r="IF1125" s="8"/>
    </row>
    <row r="1126" spans="1:240" ht="30" customHeight="1">
      <c r="A1126" s="5">
        <v>1124</v>
      </c>
      <c r="B1126" s="5"/>
      <c r="C1126" s="5"/>
      <c r="D1126" s="5" t="s">
        <v>68</v>
      </c>
      <c r="E1126" s="5" t="s">
        <v>48</v>
      </c>
      <c r="F1126" s="5" t="s">
        <v>48</v>
      </c>
      <c r="G1126" s="5" t="s">
        <v>48</v>
      </c>
      <c r="H1126" s="15">
        <f>11700*0.454</f>
        <v>5311.8</v>
      </c>
      <c r="I1126" s="5" t="s">
        <v>13</v>
      </c>
      <c r="J1126" s="15">
        <f>(3*217)/4.4</f>
        <v>147.95454545454544</v>
      </c>
      <c r="K1126" s="15">
        <f t="shared" si="33"/>
        <v>5.5560000000000009</v>
      </c>
      <c r="L1126" s="5">
        <v>763.2</v>
      </c>
      <c r="M1126" s="5">
        <f t="shared" si="32"/>
        <v>3.8800000000000026</v>
      </c>
      <c r="N1126" s="5"/>
      <c r="O1126" s="15">
        <f>53200*1.6978</f>
        <v>90322.959999999992</v>
      </c>
      <c r="P1126" s="5"/>
      <c r="Q1126" s="5"/>
      <c r="R1126" s="5">
        <v>2</v>
      </c>
      <c r="S1126" s="5"/>
      <c r="T1126" s="5"/>
      <c r="U1126" s="5"/>
      <c r="V1126" s="5">
        <f>3*0.7457*R1126</f>
        <v>4.4741999999999997</v>
      </c>
      <c r="W1126" s="5"/>
      <c r="X1126" s="5"/>
      <c r="Y1126" s="5" t="s">
        <v>48</v>
      </c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16" t="s">
        <v>48</v>
      </c>
      <c r="AN1126" s="5"/>
      <c r="AO1126" s="8"/>
      <c r="AP1126" s="8"/>
      <c r="AQ1126" s="8"/>
      <c r="AR1126" s="8"/>
      <c r="AS1126" s="8"/>
      <c r="AT1126" s="8"/>
      <c r="AU1126" s="8"/>
      <c r="AV1126" s="8"/>
      <c r="AW1126" s="8"/>
      <c r="AX1126" s="8"/>
      <c r="AY1126" s="8"/>
      <c r="AZ1126" s="8"/>
      <c r="BA1126" s="8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8"/>
      <c r="BS1126" s="8"/>
      <c r="BT1126" s="8"/>
      <c r="BU1126" s="8"/>
      <c r="BV1126" s="8"/>
      <c r="BW1126" s="8"/>
      <c r="BX1126" s="8"/>
      <c r="BY1126" s="8"/>
      <c r="BZ1126" s="8"/>
      <c r="CA1126" s="8"/>
      <c r="CB1126" s="8"/>
      <c r="CC1126" s="8"/>
      <c r="CD1126" s="8"/>
      <c r="CE1126" s="8"/>
      <c r="CF1126" s="8"/>
      <c r="CG1126" s="8"/>
      <c r="CH1126" s="8"/>
      <c r="CI1126" s="8"/>
      <c r="CJ1126" s="8"/>
      <c r="CK1126" s="8"/>
      <c r="CL1126" s="8"/>
      <c r="CM1126" s="8"/>
      <c r="CN1126" s="8"/>
      <c r="CO1126" s="8"/>
      <c r="CP1126" s="8"/>
      <c r="CQ1126" s="8"/>
      <c r="CR1126" s="8"/>
      <c r="CS1126" s="8"/>
      <c r="CT1126" s="8"/>
      <c r="CU1126" s="8"/>
      <c r="CV1126" s="8"/>
      <c r="CW1126" s="8"/>
      <c r="CX1126" s="8"/>
      <c r="CY1126" s="8"/>
      <c r="CZ1126" s="8"/>
      <c r="DA1126" s="8"/>
      <c r="DB1126" s="8"/>
      <c r="DC1126" s="8"/>
      <c r="DD1126" s="8"/>
      <c r="DE1126" s="8"/>
      <c r="DF1126" s="8"/>
      <c r="DG1126" s="8"/>
      <c r="DH1126" s="8"/>
      <c r="DI1126" s="8"/>
      <c r="DJ1126" s="8"/>
      <c r="DK1126" s="8"/>
      <c r="DL1126" s="8"/>
      <c r="DM1126" s="8"/>
      <c r="DN1126" s="8"/>
      <c r="DO1126" s="8"/>
      <c r="DP1126" s="8"/>
      <c r="DQ1126" s="8"/>
      <c r="DR1126" s="8"/>
      <c r="DS1126" s="8"/>
      <c r="DT1126" s="8"/>
      <c r="DU1126" s="8"/>
      <c r="DV1126" s="8"/>
      <c r="DW1126" s="8"/>
      <c r="DX1126" s="8"/>
      <c r="DY1126" s="8"/>
      <c r="DZ1126" s="8"/>
      <c r="EA1126" s="8"/>
      <c r="EB1126" s="8"/>
      <c r="EC1126" s="8"/>
      <c r="ED1126" s="8"/>
      <c r="EE1126" s="8"/>
      <c r="EF1126" s="8"/>
      <c r="EG1126" s="8"/>
      <c r="EH1126" s="8"/>
      <c r="EI1126" s="8"/>
      <c r="EJ1126" s="8"/>
      <c r="EK1126" s="8"/>
      <c r="EL1126" s="8"/>
      <c r="EM1126" s="8"/>
      <c r="EN1126" s="8"/>
      <c r="EO1126" s="8"/>
      <c r="EP1126" s="8"/>
      <c r="EQ1126" s="8"/>
      <c r="ER1126" s="8"/>
      <c r="ES1126" s="8"/>
      <c r="ET1126" s="8"/>
      <c r="EU1126" s="8"/>
      <c r="EV1126" s="8"/>
      <c r="EW1126" s="8"/>
      <c r="EX1126" s="8"/>
      <c r="EY1126" s="8"/>
      <c r="EZ1126" s="8"/>
      <c r="FA1126" s="8"/>
      <c r="FB1126" s="8"/>
      <c r="FC1126" s="8"/>
      <c r="FD1126" s="8"/>
      <c r="FE1126" s="8"/>
      <c r="FF1126" s="8"/>
      <c r="FG1126" s="8"/>
      <c r="FH1126" s="8"/>
      <c r="FI1126" s="8"/>
      <c r="FJ1126" s="8"/>
      <c r="FK1126" s="8"/>
      <c r="FL1126" s="8"/>
      <c r="FM1126" s="8"/>
      <c r="FN1126" s="8"/>
      <c r="FO1126" s="8"/>
      <c r="FP1126" s="8"/>
      <c r="FQ1126" s="8"/>
      <c r="FR1126" s="8"/>
      <c r="FS1126" s="8"/>
      <c r="FT1126" s="8"/>
      <c r="FU1126" s="8"/>
      <c r="FV1126" s="8"/>
      <c r="FW1126" s="8"/>
      <c r="FX1126" s="8"/>
      <c r="FY1126" s="8"/>
      <c r="FZ1126" s="8"/>
      <c r="GA1126" s="8"/>
      <c r="GB1126" s="8"/>
      <c r="GC1126" s="8"/>
      <c r="GD1126" s="8"/>
      <c r="GE1126" s="8"/>
      <c r="GF1126" s="8"/>
      <c r="GG1126" s="8"/>
      <c r="GH1126" s="8"/>
      <c r="GI1126" s="8"/>
      <c r="GJ1126" s="8"/>
      <c r="GK1126" s="8"/>
      <c r="GL1126" s="8"/>
      <c r="GM1126" s="8"/>
      <c r="GN1126" s="8"/>
      <c r="GO1126" s="8"/>
      <c r="GP1126" s="8"/>
      <c r="GQ1126" s="8"/>
      <c r="GR1126" s="8"/>
      <c r="GS1126" s="8"/>
      <c r="GT1126" s="8"/>
      <c r="GU1126" s="8"/>
      <c r="GV1126" s="8"/>
      <c r="GW1126" s="8"/>
      <c r="GX1126" s="8"/>
      <c r="GY1126" s="8"/>
      <c r="GZ1126" s="8"/>
      <c r="HA1126" s="8"/>
      <c r="HB1126" s="8"/>
      <c r="HC1126" s="8"/>
      <c r="HD1126" s="8"/>
      <c r="HE1126" s="8"/>
      <c r="HF1126" s="8"/>
      <c r="HG1126" s="8"/>
      <c r="HH1126" s="8"/>
      <c r="HI1126" s="8"/>
      <c r="HJ1126" s="8"/>
      <c r="HK1126" s="8"/>
      <c r="HL1126" s="8"/>
      <c r="HM1126" s="8"/>
      <c r="HN1126" s="8"/>
      <c r="HO1126" s="8"/>
      <c r="HP1126" s="8"/>
      <c r="HQ1126" s="8"/>
      <c r="HR1126" s="8"/>
      <c r="HS1126" s="8"/>
      <c r="HT1126" s="8"/>
      <c r="HU1126" s="8"/>
      <c r="HV1126" s="8"/>
      <c r="HW1126" s="8"/>
      <c r="HX1126" s="8"/>
      <c r="HY1126" s="8"/>
      <c r="HZ1126" s="8"/>
      <c r="IA1126" s="8"/>
      <c r="IB1126" s="8"/>
      <c r="IC1126" s="8"/>
      <c r="ID1126" s="8"/>
      <c r="IE1126" s="8"/>
      <c r="IF1126" s="8"/>
    </row>
    <row r="1127" spans="1:240" ht="30" customHeight="1">
      <c r="A1127" s="5">
        <v>1125</v>
      </c>
      <c r="B1127" s="5"/>
      <c r="C1127" s="5"/>
      <c r="D1127" s="5" t="s">
        <v>68</v>
      </c>
      <c r="E1127" s="5" t="s">
        <v>48</v>
      </c>
      <c r="F1127" s="5" t="s">
        <v>48</v>
      </c>
      <c r="G1127" s="5" t="s">
        <v>48</v>
      </c>
      <c r="H1127" s="15">
        <f>11740*0.454</f>
        <v>5329.96</v>
      </c>
      <c r="I1127" s="5" t="s">
        <v>13</v>
      </c>
      <c r="J1127" s="15">
        <f>(3*274)/4.4</f>
        <v>186.81818181818181</v>
      </c>
      <c r="K1127" s="15">
        <f t="shared" si="33"/>
        <v>5.5560000000000009</v>
      </c>
      <c r="L1127" s="5">
        <v>963.6</v>
      </c>
      <c r="M1127" s="5">
        <f t="shared" si="32"/>
        <v>3.8800000000000026</v>
      </c>
      <c r="N1127" s="5"/>
      <c r="O1127" s="15">
        <f>62600*1.6978</f>
        <v>106282.28</v>
      </c>
      <c r="P1127" s="5"/>
      <c r="Q1127" s="5"/>
      <c r="R1127" s="5">
        <v>2</v>
      </c>
      <c r="S1127" s="5"/>
      <c r="T1127" s="5"/>
      <c r="U1127" s="5"/>
      <c r="V1127" s="5">
        <f>5*0.7457*R1127</f>
        <v>7.4570000000000007</v>
      </c>
      <c r="W1127" s="5"/>
      <c r="X1127" s="5"/>
      <c r="Y1127" s="5" t="s">
        <v>48</v>
      </c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16" t="s">
        <v>48</v>
      </c>
      <c r="AN1127" s="5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8"/>
      <c r="BS1127" s="8"/>
      <c r="BT1127" s="8"/>
      <c r="BU1127" s="8"/>
      <c r="BV1127" s="8"/>
      <c r="BW1127" s="8"/>
      <c r="BX1127" s="8"/>
      <c r="BY1127" s="8"/>
      <c r="BZ1127" s="8"/>
      <c r="CA1127" s="8"/>
      <c r="CB1127" s="8"/>
      <c r="CC1127" s="8"/>
      <c r="CD1127" s="8"/>
      <c r="CE1127" s="8"/>
      <c r="CF1127" s="8"/>
      <c r="CG1127" s="8"/>
      <c r="CH1127" s="8"/>
      <c r="CI1127" s="8"/>
      <c r="CJ1127" s="8"/>
      <c r="CK1127" s="8"/>
      <c r="CL1127" s="8"/>
      <c r="CM1127" s="8"/>
      <c r="CN1127" s="8"/>
      <c r="CO1127" s="8"/>
      <c r="CP1127" s="8"/>
      <c r="CQ1127" s="8"/>
      <c r="CR1127" s="8"/>
      <c r="CS1127" s="8"/>
      <c r="CT1127" s="8"/>
      <c r="CU1127" s="8"/>
      <c r="CV1127" s="8"/>
      <c r="CW1127" s="8"/>
      <c r="CX1127" s="8"/>
      <c r="CY1127" s="8"/>
      <c r="CZ1127" s="8"/>
      <c r="DA1127" s="8"/>
      <c r="DB1127" s="8"/>
      <c r="DC1127" s="8"/>
      <c r="DD1127" s="8"/>
      <c r="DE1127" s="8"/>
      <c r="DF1127" s="8"/>
      <c r="DG1127" s="8"/>
      <c r="DH1127" s="8"/>
      <c r="DI1127" s="8"/>
      <c r="DJ1127" s="8"/>
      <c r="DK1127" s="8"/>
      <c r="DL1127" s="8"/>
      <c r="DM1127" s="8"/>
      <c r="DN1127" s="8"/>
      <c r="DO1127" s="8"/>
      <c r="DP1127" s="8"/>
      <c r="DQ1127" s="8"/>
      <c r="DR1127" s="8"/>
      <c r="DS1127" s="8"/>
      <c r="DT1127" s="8"/>
      <c r="DU1127" s="8"/>
      <c r="DV1127" s="8"/>
      <c r="DW1127" s="8"/>
      <c r="DX1127" s="8"/>
      <c r="DY1127" s="8"/>
      <c r="DZ1127" s="8"/>
      <c r="EA1127" s="8"/>
      <c r="EB1127" s="8"/>
      <c r="EC1127" s="8"/>
      <c r="ED1127" s="8"/>
      <c r="EE1127" s="8"/>
      <c r="EF1127" s="8"/>
      <c r="EG1127" s="8"/>
      <c r="EH1127" s="8"/>
      <c r="EI1127" s="8"/>
      <c r="EJ1127" s="8"/>
      <c r="EK1127" s="8"/>
      <c r="EL1127" s="8"/>
      <c r="EM1127" s="8"/>
      <c r="EN1127" s="8"/>
      <c r="EO1127" s="8"/>
      <c r="EP1127" s="8"/>
      <c r="EQ1127" s="8"/>
      <c r="ER1127" s="8"/>
      <c r="ES1127" s="8"/>
      <c r="ET1127" s="8"/>
      <c r="EU1127" s="8"/>
      <c r="EV1127" s="8"/>
      <c r="EW1127" s="8"/>
      <c r="EX1127" s="8"/>
      <c r="EY1127" s="8"/>
      <c r="EZ1127" s="8"/>
      <c r="FA1127" s="8"/>
      <c r="FB1127" s="8"/>
      <c r="FC1127" s="8"/>
      <c r="FD1127" s="8"/>
      <c r="FE1127" s="8"/>
      <c r="FF1127" s="8"/>
      <c r="FG1127" s="8"/>
      <c r="FH1127" s="8"/>
      <c r="FI1127" s="8"/>
      <c r="FJ1127" s="8"/>
      <c r="FK1127" s="8"/>
      <c r="FL1127" s="8"/>
      <c r="FM1127" s="8"/>
      <c r="FN1127" s="8"/>
      <c r="FO1127" s="8"/>
      <c r="FP1127" s="8"/>
      <c r="FQ1127" s="8"/>
      <c r="FR1127" s="8"/>
      <c r="FS1127" s="8"/>
      <c r="FT1127" s="8"/>
      <c r="FU1127" s="8"/>
      <c r="FV1127" s="8"/>
      <c r="FW1127" s="8"/>
      <c r="FX1127" s="8"/>
      <c r="FY1127" s="8"/>
      <c r="FZ1127" s="8"/>
      <c r="GA1127" s="8"/>
      <c r="GB1127" s="8"/>
      <c r="GC1127" s="8"/>
      <c r="GD1127" s="8"/>
      <c r="GE1127" s="8"/>
      <c r="GF1127" s="8"/>
      <c r="GG1127" s="8"/>
      <c r="GH1127" s="8"/>
      <c r="GI1127" s="8"/>
      <c r="GJ1127" s="8"/>
      <c r="GK1127" s="8"/>
      <c r="GL1127" s="8"/>
      <c r="GM1127" s="8"/>
      <c r="GN1127" s="8"/>
      <c r="GO1127" s="8"/>
      <c r="GP1127" s="8"/>
      <c r="GQ1127" s="8"/>
      <c r="GR1127" s="8"/>
      <c r="GS1127" s="8"/>
      <c r="GT1127" s="8"/>
      <c r="GU1127" s="8"/>
      <c r="GV1127" s="8"/>
      <c r="GW1127" s="8"/>
      <c r="GX1127" s="8"/>
      <c r="GY1127" s="8"/>
      <c r="GZ1127" s="8"/>
      <c r="HA1127" s="8"/>
      <c r="HB1127" s="8"/>
      <c r="HC1127" s="8"/>
      <c r="HD1127" s="8"/>
      <c r="HE1127" s="8"/>
      <c r="HF1127" s="8"/>
      <c r="HG1127" s="8"/>
      <c r="HH1127" s="8"/>
      <c r="HI1127" s="8"/>
      <c r="HJ1127" s="8"/>
      <c r="HK1127" s="8"/>
      <c r="HL1127" s="8"/>
      <c r="HM1127" s="8"/>
      <c r="HN1127" s="8"/>
      <c r="HO1127" s="8"/>
      <c r="HP1127" s="8"/>
      <c r="HQ1127" s="8"/>
      <c r="HR1127" s="8"/>
      <c r="HS1127" s="8"/>
      <c r="HT1127" s="8"/>
      <c r="HU1127" s="8"/>
      <c r="HV1127" s="8"/>
      <c r="HW1127" s="8"/>
      <c r="HX1127" s="8"/>
      <c r="HY1127" s="8"/>
      <c r="HZ1127" s="8"/>
      <c r="IA1127" s="8"/>
      <c r="IB1127" s="8"/>
      <c r="IC1127" s="8"/>
      <c r="ID1127" s="8"/>
      <c r="IE1127" s="8"/>
      <c r="IF1127" s="8"/>
    </row>
    <row r="1128" spans="1:240" ht="30" customHeight="1">
      <c r="A1128" s="5">
        <v>1126</v>
      </c>
      <c r="B1128" s="5"/>
      <c r="C1128" s="5"/>
      <c r="D1128" s="5" t="s">
        <v>68</v>
      </c>
      <c r="E1128" s="5" t="s">
        <v>48</v>
      </c>
      <c r="F1128" s="5" t="s">
        <v>48</v>
      </c>
      <c r="G1128" s="5" t="s">
        <v>48</v>
      </c>
      <c r="H1128" s="15">
        <f>11820*0.454</f>
        <v>5366.28</v>
      </c>
      <c r="I1128" s="5" t="s">
        <v>13</v>
      </c>
      <c r="J1128" s="15">
        <f>(3*297)/4.4</f>
        <v>202.49999999999997</v>
      </c>
      <c r="K1128" s="15">
        <f t="shared" si="33"/>
        <v>5.5560000000000009</v>
      </c>
      <c r="L1128" s="5">
        <v>1044.5</v>
      </c>
      <c r="M1128" s="5">
        <f t="shared" si="32"/>
        <v>3.8800000000000026</v>
      </c>
      <c r="N1128" s="5"/>
      <c r="O1128" s="15">
        <f>71400*1.6978</f>
        <v>121222.92</v>
      </c>
      <c r="P1128" s="5"/>
      <c r="Q1128" s="5"/>
      <c r="R1128" s="5">
        <v>2</v>
      </c>
      <c r="S1128" s="5"/>
      <c r="T1128" s="5"/>
      <c r="U1128" s="5"/>
      <c r="V1128" s="5">
        <f>7.5*0.7457*R1128</f>
        <v>11.185500000000001</v>
      </c>
      <c r="W1128" s="5"/>
      <c r="X1128" s="5"/>
      <c r="Y1128" s="5" t="s">
        <v>48</v>
      </c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16" t="s">
        <v>48</v>
      </c>
      <c r="AN1128" s="5"/>
      <c r="AO1128" s="8"/>
      <c r="AP1128" s="8"/>
      <c r="AQ1128" s="8"/>
      <c r="AR1128" s="8"/>
      <c r="AS1128" s="8"/>
      <c r="AT1128" s="8"/>
      <c r="AU1128" s="8"/>
      <c r="AV1128" s="8"/>
      <c r="AW1128" s="8"/>
      <c r="AX1128" s="8"/>
      <c r="AY1128" s="8"/>
      <c r="AZ1128" s="8"/>
      <c r="BA1128" s="8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8"/>
      <c r="BS1128" s="8"/>
      <c r="BT1128" s="8"/>
      <c r="BU1128" s="8"/>
      <c r="BV1128" s="8"/>
      <c r="BW1128" s="8"/>
      <c r="BX1128" s="8"/>
      <c r="BY1128" s="8"/>
      <c r="BZ1128" s="8"/>
      <c r="CA1128" s="8"/>
      <c r="CB1128" s="8"/>
      <c r="CC1128" s="8"/>
      <c r="CD1128" s="8"/>
      <c r="CE1128" s="8"/>
      <c r="CF1128" s="8"/>
      <c r="CG1128" s="8"/>
      <c r="CH1128" s="8"/>
      <c r="CI1128" s="8"/>
      <c r="CJ1128" s="8"/>
      <c r="CK1128" s="8"/>
      <c r="CL1128" s="8"/>
      <c r="CM1128" s="8"/>
      <c r="CN1128" s="8"/>
      <c r="CO1128" s="8"/>
      <c r="CP1128" s="8"/>
      <c r="CQ1128" s="8"/>
      <c r="CR1128" s="8"/>
      <c r="CS1128" s="8"/>
      <c r="CT1128" s="8"/>
      <c r="CU1128" s="8"/>
      <c r="CV1128" s="8"/>
      <c r="CW1128" s="8"/>
      <c r="CX1128" s="8"/>
      <c r="CY1128" s="8"/>
      <c r="CZ1128" s="8"/>
      <c r="DA1128" s="8"/>
      <c r="DB1128" s="8"/>
      <c r="DC1128" s="8"/>
      <c r="DD1128" s="8"/>
      <c r="DE1128" s="8"/>
      <c r="DF1128" s="8"/>
      <c r="DG1128" s="8"/>
      <c r="DH1128" s="8"/>
      <c r="DI1128" s="8"/>
      <c r="DJ1128" s="8"/>
      <c r="DK1128" s="8"/>
      <c r="DL1128" s="8"/>
      <c r="DM1128" s="8"/>
      <c r="DN1128" s="8"/>
      <c r="DO1128" s="8"/>
      <c r="DP1128" s="8"/>
      <c r="DQ1128" s="8"/>
      <c r="DR1128" s="8"/>
      <c r="DS1128" s="8"/>
      <c r="DT1128" s="8"/>
      <c r="DU1128" s="8"/>
      <c r="DV1128" s="8"/>
      <c r="DW1128" s="8"/>
      <c r="DX1128" s="8"/>
      <c r="DY1128" s="8"/>
      <c r="DZ1128" s="8"/>
      <c r="EA1128" s="8"/>
      <c r="EB1128" s="8"/>
      <c r="EC1128" s="8"/>
      <c r="ED1128" s="8"/>
      <c r="EE1128" s="8"/>
      <c r="EF1128" s="8"/>
      <c r="EG1128" s="8"/>
      <c r="EH1128" s="8"/>
      <c r="EI1128" s="8"/>
      <c r="EJ1128" s="8"/>
      <c r="EK1128" s="8"/>
      <c r="EL1128" s="8"/>
      <c r="EM1128" s="8"/>
      <c r="EN1128" s="8"/>
      <c r="EO1128" s="8"/>
      <c r="EP1128" s="8"/>
      <c r="EQ1128" s="8"/>
      <c r="ER1128" s="8"/>
      <c r="ES1128" s="8"/>
      <c r="ET1128" s="8"/>
      <c r="EU1128" s="8"/>
      <c r="EV1128" s="8"/>
      <c r="EW1128" s="8"/>
      <c r="EX1128" s="8"/>
      <c r="EY1128" s="8"/>
      <c r="EZ1128" s="8"/>
      <c r="FA1128" s="8"/>
      <c r="FB1128" s="8"/>
      <c r="FC1128" s="8"/>
      <c r="FD1128" s="8"/>
      <c r="FE1128" s="8"/>
      <c r="FF1128" s="8"/>
      <c r="FG1128" s="8"/>
      <c r="FH1128" s="8"/>
      <c r="FI1128" s="8"/>
      <c r="FJ1128" s="8"/>
      <c r="FK1128" s="8"/>
      <c r="FL1128" s="8"/>
      <c r="FM1128" s="8"/>
      <c r="FN1128" s="8"/>
      <c r="FO1128" s="8"/>
      <c r="FP1128" s="8"/>
      <c r="FQ1128" s="8"/>
      <c r="FR1128" s="8"/>
      <c r="FS1128" s="8"/>
      <c r="FT1128" s="8"/>
      <c r="FU1128" s="8"/>
      <c r="FV1128" s="8"/>
      <c r="FW1128" s="8"/>
      <c r="FX1128" s="8"/>
      <c r="FY1128" s="8"/>
      <c r="FZ1128" s="8"/>
      <c r="GA1128" s="8"/>
      <c r="GB1128" s="8"/>
      <c r="GC1128" s="8"/>
      <c r="GD1128" s="8"/>
      <c r="GE1128" s="8"/>
      <c r="GF1128" s="8"/>
      <c r="GG1128" s="8"/>
      <c r="GH1128" s="8"/>
      <c r="GI1128" s="8"/>
      <c r="GJ1128" s="8"/>
      <c r="GK1128" s="8"/>
      <c r="GL1128" s="8"/>
      <c r="GM1128" s="8"/>
      <c r="GN1128" s="8"/>
      <c r="GO1128" s="8"/>
      <c r="GP1128" s="8"/>
      <c r="GQ1128" s="8"/>
      <c r="GR1128" s="8"/>
      <c r="GS1128" s="8"/>
      <c r="GT1128" s="8"/>
      <c r="GU1128" s="8"/>
      <c r="GV1128" s="8"/>
      <c r="GW1128" s="8"/>
      <c r="GX1128" s="8"/>
      <c r="GY1128" s="8"/>
      <c r="GZ1128" s="8"/>
      <c r="HA1128" s="8"/>
      <c r="HB1128" s="8"/>
      <c r="HC1128" s="8"/>
      <c r="HD1128" s="8"/>
      <c r="HE1128" s="8"/>
      <c r="HF1128" s="8"/>
      <c r="HG1128" s="8"/>
      <c r="HH1128" s="8"/>
      <c r="HI1128" s="8"/>
      <c r="HJ1128" s="8"/>
      <c r="HK1128" s="8"/>
      <c r="HL1128" s="8"/>
      <c r="HM1128" s="8"/>
      <c r="HN1128" s="8"/>
      <c r="HO1128" s="8"/>
      <c r="HP1128" s="8"/>
      <c r="HQ1128" s="8"/>
      <c r="HR1128" s="8"/>
      <c r="HS1128" s="8"/>
      <c r="HT1128" s="8"/>
      <c r="HU1128" s="8"/>
      <c r="HV1128" s="8"/>
      <c r="HW1128" s="8"/>
      <c r="HX1128" s="8"/>
      <c r="HY1128" s="8"/>
      <c r="HZ1128" s="8"/>
      <c r="IA1128" s="8"/>
      <c r="IB1128" s="8"/>
      <c r="IC1128" s="8"/>
      <c r="ID1128" s="8"/>
      <c r="IE1128" s="8"/>
      <c r="IF1128" s="8"/>
    </row>
    <row r="1129" spans="1:240" ht="30" customHeight="1">
      <c r="A1129" s="5">
        <v>1127</v>
      </c>
      <c r="B1129" s="5"/>
      <c r="C1129" s="5"/>
      <c r="D1129" s="5" t="s">
        <v>68</v>
      </c>
      <c r="E1129" s="5" t="s">
        <v>48</v>
      </c>
      <c r="F1129" s="5" t="s">
        <v>48</v>
      </c>
      <c r="G1129" s="5" t="s">
        <v>48</v>
      </c>
      <c r="H1129" s="15">
        <f>11880*0.454</f>
        <v>5393.52</v>
      </c>
      <c r="I1129" s="5" t="s">
        <v>13</v>
      </c>
      <c r="J1129" s="15">
        <f>(3*319)/4.4</f>
        <v>217.49999999999997</v>
      </c>
      <c r="K1129" s="15">
        <f t="shared" si="33"/>
        <v>5.5560000000000009</v>
      </c>
      <c r="L1129" s="5">
        <v>1121.9000000000001</v>
      </c>
      <c r="M1129" s="5">
        <f t="shared" si="32"/>
        <v>3.8800000000000026</v>
      </c>
      <c r="N1129" s="5"/>
      <c r="O1129" s="15">
        <f>78300*1.6978</f>
        <v>132937.74</v>
      </c>
      <c r="P1129" s="5"/>
      <c r="Q1129" s="5"/>
      <c r="R1129" s="5">
        <v>2</v>
      </c>
      <c r="S1129" s="5"/>
      <c r="T1129" s="5"/>
      <c r="U1129" s="5"/>
      <c r="V1129" s="5">
        <f>10*0.7457*R1129</f>
        <v>14.914000000000001</v>
      </c>
      <c r="W1129" s="5"/>
      <c r="X1129" s="5"/>
      <c r="Y1129" s="5" t="s">
        <v>48</v>
      </c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16" t="s">
        <v>48</v>
      </c>
      <c r="AN1129" s="5"/>
      <c r="AO1129" s="8"/>
      <c r="AP1129" s="8"/>
      <c r="AQ1129" s="8"/>
      <c r="AR1129" s="8"/>
      <c r="AS1129" s="8"/>
      <c r="AT1129" s="8"/>
      <c r="AU1129" s="8"/>
      <c r="AV1129" s="8"/>
      <c r="AW1129" s="8"/>
      <c r="AX1129" s="8"/>
      <c r="AY1129" s="8"/>
      <c r="AZ1129" s="8"/>
      <c r="BA1129" s="8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8"/>
      <c r="BS1129" s="8"/>
      <c r="BT1129" s="8"/>
      <c r="BU1129" s="8"/>
      <c r="BV1129" s="8"/>
      <c r="BW1129" s="8"/>
      <c r="BX1129" s="8"/>
      <c r="BY1129" s="8"/>
      <c r="BZ1129" s="8"/>
      <c r="CA1129" s="8"/>
      <c r="CB1129" s="8"/>
      <c r="CC1129" s="8"/>
      <c r="CD1129" s="8"/>
      <c r="CE1129" s="8"/>
      <c r="CF1129" s="8"/>
      <c r="CG1129" s="8"/>
      <c r="CH1129" s="8"/>
      <c r="CI1129" s="8"/>
      <c r="CJ1129" s="8"/>
      <c r="CK1129" s="8"/>
      <c r="CL1129" s="8"/>
      <c r="CM1129" s="8"/>
      <c r="CN1129" s="8"/>
      <c r="CO1129" s="8"/>
      <c r="CP1129" s="8"/>
      <c r="CQ1129" s="8"/>
      <c r="CR1129" s="8"/>
      <c r="CS1129" s="8"/>
      <c r="CT1129" s="8"/>
      <c r="CU1129" s="8"/>
      <c r="CV1129" s="8"/>
      <c r="CW1129" s="8"/>
      <c r="CX1129" s="8"/>
      <c r="CY1129" s="8"/>
      <c r="CZ1129" s="8"/>
      <c r="DA1129" s="8"/>
      <c r="DB1129" s="8"/>
      <c r="DC1129" s="8"/>
      <c r="DD1129" s="8"/>
      <c r="DE1129" s="8"/>
      <c r="DF1129" s="8"/>
      <c r="DG1129" s="8"/>
      <c r="DH1129" s="8"/>
      <c r="DI1129" s="8"/>
      <c r="DJ1129" s="8"/>
      <c r="DK1129" s="8"/>
      <c r="DL1129" s="8"/>
      <c r="DM1129" s="8"/>
      <c r="DN1129" s="8"/>
      <c r="DO1129" s="8"/>
      <c r="DP1129" s="8"/>
      <c r="DQ1129" s="8"/>
      <c r="DR1129" s="8"/>
      <c r="DS1129" s="8"/>
      <c r="DT1129" s="8"/>
      <c r="DU1129" s="8"/>
      <c r="DV1129" s="8"/>
      <c r="DW1129" s="8"/>
      <c r="DX1129" s="8"/>
      <c r="DY1129" s="8"/>
      <c r="DZ1129" s="8"/>
      <c r="EA1129" s="8"/>
      <c r="EB1129" s="8"/>
      <c r="EC1129" s="8"/>
      <c r="ED1129" s="8"/>
      <c r="EE1129" s="8"/>
      <c r="EF1129" s="8"/>
      <c r="EG1129" s="8"/>
      <c r="EH1129" s="8"/>
      <c r="EI1129" s="8"/>
      <c r="EJ1129" s="8"/>
      <c r="EK1129" s="8"/>
      <c r="EL1129" s="8"/>
      <c r="EM1129" s="8"/>
      <c r="EN1129" s="8"/>
      <c r="EO1129" s="8"/>
      <c r="EP1129" s="8"/>
      <c r="EQ1129" s="8"/>
      <c r="ER1129" s="8"/>
      <c r="ES1129" s="8"/>
      <c r="ET1129" s="8"/>
      <c r="EU1129" s="8"/>
      <c r="EV1129" s="8"/>
      <c r="EW1129" s="8"/>
      <c r="EX1129" s="8"/>
      <c r="EY1129" s="8"/>
      <c r="EZ1129" s="8"/>
      <c r="FA1129" s="8"/>
      <c r="FB1129" s="8"/>
      <c r="FC1129" s="8"/>
      <c r="FD1129" s="8"/>
      <c r="FE1129" s="8"/>
      <c r="FF1129" s="8"/>
      <c r="FG1129" s="8"/>
      <c r="FH1129" s="8"/>
      <c r="FI1129" s="8"/>
      <c r="FJ1129" s="8"/>
      <c r="FK1129" s="8"/>
      <c r="FL1129" s="8"/>
      <c r="FM1129" s="8"/>
      <c r="FN1129" s="8"/>
      <c r="FO1129" s="8"/>
      <c r="FP1129" s="8"/>
      <c r="FQ1129" s="8"/>
      <c r="FR1129" s="8"/>
      <c r="FS1129" s="8"/>
      <c r="FT1129" s="8"/>
      <c r="FU1129" s="8"/>
      <c r="FV1129" s="8"/>
      <c r="FW1129" s="8"/>
      <c r="FX1129" s="8"/>
      <c r="FY1129" s="8"/>
      <c r="FZ1129" s="8"/>
      <c r="GA1129" s="8"/>
      <c r="GB1129" s="8"/>
      <c r="GC1129" s="8"/>
      <c r="GD1129" s="8"/>
      <c r="GE1129" s="8"/>
      <c r="GF1129" s="8"/>
      <c r="GG1129" s="8"/>
      <c r="GH1129" s="8"/>
      <c r="GI1129" s="8"/>
      <c r="GJ1129" s="8"/>
      <c r="GK1129" s="8"/>
      <c r="GL1129" s="8"/>
      <c r="GM1129" s="8"/>
      <c r="GN1129" s="8"/>
      <c r="GO1129" s="8"/>
      <c r="GP1129" s="8"/>
      <c r="GQ1129" s="8"/>
      <c r="GR1129" s="8"/>
      <c r="GS1129" s="8"/>
      <c r="GT1129" s="8"/>
      <c r="GU1129" s="8"/>
      <c r="GV1129" s="8"/>
      <c r="GW1129" s="8"/>
      <c r="GX1129" s="8"/>
      <c r="GY1129" s="8"/>
      <c r="GZ1129" s="8"/>
      <c r="HA1129" s="8"/>
      <c r="HB1129" s="8"/>
      <c r="HC1129" s="8"/>
      <c r="HD1129" s="8"/>
      <c r="HE1129" s="8"/>
      <c r="HF1129" s="8"/>
      <c r="HG1129" s="8"/>
      <c r="HH1129" s="8"/>
      <c r="HI1129" s="8"/>
      <c r="HJ1129" s="8"/>
      <c r="HK1129" s="8"/>
      <c r="HL1129" s="8"/>
      <c r="HM1129" s="8"/>
      <c r="HN1129" s="8"/>
      <c r="HO1129" s="8"/>
      <c r="HP1129" s="8"/>
      <c r="HQ1129" s="8"/>
      <c r="HR1129" s="8"/>
      <c r="HS1129" s="8"/>
      <c r="HT1129" s="8"/>
      <c r="HU1129" s="8"/>
      <c r="HV1129" s="8"/>
      <c r="HW1129" s="8"/>
      <c r="HX1129" s="8"/>
      <c r="HY1129" s="8"/>
      <c r="HZ1129" s="8"/>
      <c r="IA1129" s="8"/>
      <c r="IB1129" s="8"/>
      <c r="IC1129" s="8"/>
      <c r="ID1129" s="8"/>
      <c r="IE1129" s="8"/>
      <c r="IF1129" s="8"/>
    </row>
    <row r="1130" spans="1:240" ht="30" customHeight="1">
      <c r="A1130" s="5">
        <v>1128</v>
      </c>
      <c r="B1130" s="5"/>
      <c r="C1130" s="5"/>
      <c r="D1130" s="5" t="s">
        <v>68</v>
      </c>
      <c r="E1130" s="5" t="s">
        <v>48</v>
      </c>
      <c r="F1130" s="5" t="s">
        <v>48</v>
      </c>
      <c r="G1130" s="5" t="s">
        <v>48</v>
      </c>
      <c r="H1130" s="15">
        <f>12200*0.454</f>
        <v>5538.8</v>
      </c>
      <c r="I1130" s="5" t="s">
        <v>13</v>
      </c>
      <c r="J1130" s="15">
        <f>(3*304)/4.4</f>
        <v>207.27272727272725</v>
      </c>
      <c r="K1130" s="15">
        <f t="shared" si="33"/>
        <v>5.5560000000000009</v>
      </c>
      <c r="L1130" s="5">
        <v>1069.0999999999999</v>
      </c>
      <c r="M1130" s="5">
        <f t="shared" si="32"/>
        <v>3.8800000000000026</v>
      </c>
      <c r="N1130" s="5"/>
      <c r="O1130" s="15">
        <f>61600*1.6978</f>
        <v>104584.48</v>
      </c>
      <c r="P1130" s="5"/>
      <c r="Q1130" s="5"/>
      <c r="R1130" s="5">
        <v>2</v>
      </c>
      <c r="S1130" s="5"/>
      <c r="T1130" s="5"/>
      <c r="U1130" s="5"/>
      <c r="V1130" s="5">
        <f>5*0.7457*R1130</f>
        <v>7.4570000000000007</v>
      </c>
      <c r="W1130" s="5"/>
      <c r="X1130" s="5"/>
      <c r="Y1130" s="5" t="s">
        <v>48</v>
      </c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16" t="s">
        <v>48</v>
      </c>
      <c r="AN1130" s="5"/>
      <c r="AO1130" s="8"/>
      <c r="AP1130" s="8"/>
      <c r="AQ1130" s="8"/>
      <c r="AR1130" s="8"/>
      <c r="AS1130" s="8"/>
      <c r="AT1130" s="8"/>
      <c r="AU1130" s="8"/>
      <c r="AV1130" s="8"/>
      <c r="AW1130" s="8"/>
      <c r="AX1130" s="8"/>
      <c r="AY1130" s="8"/>
      <c r="AZ1130" s="8"/>
      <c r="BA1130" s="8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8"/>
      <c r="BS1130" s="8"/>
      <c r="BT1130" s="8"/>
      <c r="BU1130" s="8"/>
      <c r="BV1130" s="8"/>
      <c r="BW1130" s="8"/>
      <c r="BX1130" s="8"/>
      <c r="BY1130" s="8"/>
      <c r="BZ1130" s="8"/>
      <c r="CA1130" s="8"/>
      <c r="CB1130" s="8"/>
      <c r="CC1130" s="8"/>
      <c r="CD1130" s="8"/>
      <c r="CE1130" s="8"/>
      <c r="CF1130" s="8"/>
      <c r="CG1130" s="8"/>
      <c r="CH1130" s="8"/>
      <c r="CI1130" s="8"/>
      <c r="CJ1130" s="8"/>
      <c r="CK1130" s="8"/>
      <c r="CL1130" s="8"/>
      <c r="CM1130" s="8"/>
      <c r="CN1130" s="8"/>
      <c r="CO1130" s="8"/>
      <c r="CP1130" s="8"/>
      <c r="CQ1130" s="8"/>
      <c r="CR1130" s="8"/>
      <c r="CS1130" s="8"/>
      <c r="CT1130" s="8"/>
      <c r="CU1130" s="8"/>
      <c r="CV1130" s="8"/>
      <c r="CW1130" s="8"/>
      <c r="CX1130" s="8"/>
      <c r="CY1130" s="8"/>
      <c r="CZ1130" s="8"/>
      <c r="DA1130" s="8"/>
      <c r="DB1130" s="8"/>
      <c r="DC1130" s="8"/>
      <c r="DD1130" s="8"/>
      <c r="DE1130" s="8"/>
      <c r="DF1130" s="8"/>
      <c r="DG1130" s="8"/>
      <c r="DH1130" s="8"/>
      <c r="DI1130" s="8"/>
      <c r="DJ1130" s="8"/>
      <c r="DK1130" s="8"/>
      <c r="DL1130" s="8"/>
      <c r="DM1130" s="8"/>
      <c r="DN1130" s="8"/>
      <c r="DO1130" s="8"/>
      <c r="DP1130" s="8"/>
      <c r="DQ1130" s="8"/>
      <c r="DR1130" s="8"/>
      <c r="DS1130" s="8"/>
      <c r="DT1130" s="8"/>
      <c r="DU1130" s="8"/>
      <c r="DV1130" s="8"/>
      <c r="DW1130" s="8"/>
      <c r="DX1130" s="8"/>
      <c r="DY1130" s="8"/>
      <c r="DZ1130" s="8"/>
      <c r="EA1130" s="8"/>
      <c r="EB1130" s="8"/>
      <c r="EC1130" s="8"/>
      <c r="ED1130" s="8"/>
      <c r="EE1130" s="8"/>
      <c r="EF1130" s="8"/>
      <c r="EG1130" s="8"/>
      <c r="EH1130" s="8"/>
      <c r="EI1130" s="8"/>
      <c r="EJ1130" s="8"/>
      <c r="EK1130" s="8"/>
      <c r="EL1130" s="8"/>
      <c r="EM1130" s="8"/>
      <c r="EN1130" s="8"/>
      <c r="EO1130" s="8"/>
      <c r="EP1130" s="8"/>
      <c r="EQ1130" s="8"/>
      <c r="ER1130" s="8"/>
      <c r="ES1130" s="8"/>
      <c r="ET1130" s="8"/>
      <c r="EU1130" s="8"/>
      <c r="EV1130" s="8"/>
      <c r="EW1130" s="8"/>
      <c r="EX1130" s="8"/>
      <c r="EY1130" s="8"/>
      <c r="EZ1130" s="8"/>
      <c r="FA1130" s="8"/>
      <c r="FB1130" s="8"/>
      <c r="FC1130" s="8"/>
      <c r="FD1130" s="8"/>
      <c r="FE1130" s="8"/>
      <c r="FF1130" s="8"/>
      <c r="FG1130" s="8"/>
      <c r="FH1130" s="8"/>
      <c r="FI1130" s="8"/>
      <c r="FJ1130" s="8"/>
      <c r="FK1130" s="8"/>
      <c r="FL1130" s="8"/>
      <c r="FM1130" s="8"/>
      <c r="FN1130" s="8"/>
      <c r="FO1130" s="8"/>
      <c r="FP1130" s="8"/>
      <c r="FQ1130" s="8"/>
      <c r="FR1130" s="8"/>
      <c r="FS1130" s="8"/>
      <c r="FT1130" s="8"/>
      <c r="FU1130" s="8"/>
      <c r="FV1130" s="8"/>
      <c r="FW1130" s="8"/>
      <c r="FX1130" s="8"/>
      <c r="FY1130" s="8"/>
      <c r="FZ1130" s="8"/>
      <c r="GA1130" s="8"/>
      <c r="GB1130" s="8"/>
      <c r="GC1130" s="8"/>
      <c r="GD1130" s="8"/>
      <c r="GE1130" s="8"/>
      <c r="GF1130" s="8"/>
      <c r="GG1130" s="8"/>
      <c r="GH1130" s="8"/>
      <c r="GI1130" s="8"/>
      <c r="GJ1130" s="8"/>
      <c r="GK1130" s="8"/>
      <c r="GL1130" s="8"/>
      <c r="GM1130" s="8"/>
      <c r="GN1130" s="8"/>
      <c r="GO1130" s="8"/>
      <c r="GP1130" s="8"/>
      <c r="GQ1130" s="8"/>
      <c r="GR1130" s="8"/>
      <c r="GS1130" s="8"/>
      <c r="GT1130" s="8"/>
      <c r="GU1130" s="8"/>
      <c r="GV1130" s="8"/>
      <c r="GW1130" s="8"/>
      <c r="GX1130" s="8"/>
      <c r="GY1130" s="8"/>
      <c r="GZ1130" s="8"/>
      <c r="HA1130" s="8"/>
      <c r="HB1130" s="8"/>
      <c r="HC1130" s="8"/>
      <c r="HD1130" s="8"/>
      <c r="HE1130" s="8"/>
      <c r="HF1130" s="8"/>
      <c r="HG1130" s="8"/>
      <c r="HH1130" s="8"/>
      <c r="HI1130" s="8"/>
      <c r="HJ1130" s="8"/>
      <c r="HK1130" s="8"/>
      <c r="HL1130" s="8"/>
      <c r="HM1130" s="8"/>
      <c r="HN1130" s="8"/>
      <c r="HO1130" s="8"/>
      <c r="HP1130" s="8"/>
      <c r="HQ1130" s="8"/>
      <c r="HR1130" s="8"/>
      <c r="HS1130" s="8"/>
      <c r="HT1130" s="8"/>
      <c r="HU1130" s="8"/>
      <c r="HV1130" s="8"/>
      <c r="HW1130" s="8"/>
      <c r="HX1130" s="8"/>
      <c r="HY1130" s="8"/>
      <c r="HZ1130" s="8"/>
      <c r="IA1130" s="8"/>
      <c r="IB1130" s="8"/>
      <c r="IC1130" s="8"/>
      <c r="ID1130" s="8"/>
      <c r="IE1130" s="8"/>
      <c r="IF1130" s="8"/>
    </row>
    <row r="1131" spans="1:240" ht="30" customHeight="1">
      <c r="A1131" s="5">
        <v>1129</v>
      </c>
      <c r="B1131" s="5"/>
      <c r="C1131" s="5"/>
      <c r="D1131" s="5" t="s">
        <v>68</v>
      </c>
      <c r="E1131" s="5" t="s">
        <v>48</v>
      </c>
      <c r="F1131" s="5" t="s">
        <v>48</v>
      </c>
      <c r="G1131" s="5" t="s">
        <v>48</v>
      </c>
      <c r="H1131" s="15">
        <f>12280*0.454</f>
        <v>5575.12</v>
      </c>
      <c r="I1131" s="5" t="s">
        <v>13</v>
      </c>
      <c r="J1131" s="15">
        <f>(3*331)/4.4</f>
        <v>225.68181818181816</v>
      </c>
      <c r="K1131" s="15">
        <f t="shared" si="33"/>
        <v>5.5560000000000009</v>
      </c>
      <c r="L1131" s="5">
        <v>1164.0999999999999</v>
      </c>
      <c r="M1131" s="5">
        <f t="shared" si="32"/>
        <v>3.8800000000000026</v>
      </c>
      <c r="N1131" s="5"/>
      <c r="O1131" s="15">
        <f>70200*1.6978</f>
        <v>119185.56</v>
      </c>
      <c r="P1131" s="5"/>
      <c r="Q1131" s="5"/>
      <c r="R1131" s="5">
        <v>2</v>
      </c>
      <c r="S1131" s="5"/>
      <c r="T1131" s="5"/>
      <c r="U1131" s="5"/>
      <c r="V1131" s="5">
        <f>7.5*0.7457*R1131</f>
        <v>11.185500000000001</v>
      </c>
      <c r="W1131" s="5"/>
      <c r="X1131" s="5"/>
      <c r="Y1131" s="5" t="s">
        <v>48</v>
      </c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16" t="s">
        <v>48</v>
      </c>
      <c r="AN1131" s="5"/>
      <c r="AO1131" s="8"/>
      <c r="AP1131" s="8"/>
      <c r="AQ1131" s="8"/>
      <c r="AR1131" s="8"/>
      <c r="AS1131" s="8"/>
      <c r="AT1131" s="8"/>
      <c r="AU1131" s="8"/>
      <c r="AV1131" s="8"/>
      <c r="AW1131" s="8"/>
      <c r="AX1131" s="8"/>
      <c r="AY1131" s="8"/>
      <c r="AZ1131" s="8"/>
      <c r="BA1131" s="8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8"/>
      <c r="BS1131" s="8"/>
      <c r="BT1131" s="8"/>
      <c r="BU1131" s="8"/>
      <c r="BV1131" s="8"/>
      <c r="BW1131" s="8"/>
      <c r="BX1131" s="8"/>
      <c r="BY1131" s="8"/>
      <c r="BZ1131" s="8"/>
      <c r="CA1131" s="8"/>
      <c r="CB1131" s="8"/>
      <c r="CC1131" s="8"/>
      <c r="CD1131" s="8"/>
      <c r="CE1131" s="8"/>
      <c r="CF1131" s="8"/>
      <c r="CG1131" s="8"/>
      <c r="CH1131" s="8"/>
      <c r="CI1131" s="8"/>
      <c r="CJ1131" s="8"/>
      <c r="CK1131" s="8"/>
      <c r="CL1131" s="8"/>
      <c r="CM1131" s="8"/>
      <c r="CN1131" s="8"/>
      <c r="CO1131" s="8"/>
      <c r="CP1131" s="8"/>
      <c r="CQ1131" s="8"/>
      <c r="CR1131" s="8"/>
      <c r="CS1131" s="8"/>
      <c r="CT1131" s="8"/>
      <c r="CU1131" s="8"/>
      <c r="CV1131" s="8"/>
      <c r="CW1131" s="8"/>
      <c r="CX1131" s="8"/>
      <c r="CY1131" s="8"/>
      <c r="CZ1131" s="8"/>
      <c r="DA1131" s="8"/>
      <c r="DB1131" s="8"/>
      <c r="DC1131" s="8"/>
      <c r="DD1131" s="8"/>
      <c r="DE1131" s="8"/>
      <c r="DF1131" s="8"/>
      <c r="DG1131" s="8"/>
      <c r="DH1131" s="8"/>
      <c r="DI1131" s="8"/>
      <c r="DJ1131" s="8"/>
      <c r="DK1131" s="8"/>
      <c r="DL1131" s="8"/>
      <c r="DM1131" s="8"/>
      <c r="DN1131" s="8"/>
      <c r="DO1131" s="8"/>
      <c r="DP1131" s="8"/>
      <c r="DQ1131" s="8"/>
      <c r="DR1131" s="8"/>
      <c r="DS1131" s="8"/>
      <c r="DT1131" s="8"/>
      <c r="DU1131" s="8"/>
      <c r="DV1131" s="8"/>
      <c r="DW1131" s="8"/>
      <c r="DX1131" s="8"/>
      <c r="DY1131" s="8"/>
      <c r="DZ1131" s="8"/>
      <c r="EA1131" s="8"/>
      <c r="EB1131" s="8"/>
      <c r="EC1131" s="8"/>
      <c r="ED1131" s="8"/>
      <c r="EE1131" s="8"/>
      <c r="EF1131" s="8"/>
      <c r="EG1131" s="8"/>
      <c r="EH1131" s="8"/>
      <c r="EI1131" s="8"/>
      <c r="EJ1131" s="8"/>
      <c r="EK1131" s="8"/>
      <c r="EL1131" s="8"/>
      <c r="EM1131" s="8"/>
      <c r="EN1131" s="8"/>
      <c r="EO1131" s="8"/>
      <c r="EP1131" s="8"/>
      <c r="EQ1131" s="8"/>
      <c r="ER1131" s="8"/>
      <c r="ES1131" s="8"/>
      <c r="ET1131" s="8"/>
      <c r="EU1131" s="8"/>
      <c r="EV1131" s="8"/>
      <c r="EW1131" s="8"/>
      <c r="EX1131" s="8"/>
      <c r="EY1131" s="8"/>
      <c r="EZ1131" s="8"/>
      <c r="FA1131" s="8"/>
      <c r="FB1131" s="8"/>
      <c r="FC1131" s="8"/>
      <c r="FD1131" s="8"/>
      <c r="FE1131" s="8"/>
      <c r="FF1131" s="8"/>
      <c r="FG1131" s="8"/>
      <c r="FH1131" s="8"/>
      <c r="FI1131" s="8"/>
      <c r="FJ1131" s="8"/>
      <c r="FK1131" s="8"/>
      <c r="FL1131" s="8"/>
      <c r="FM1131" s="8"/>
      <c r="FN1131" s="8"/>
      <c r="FO1131" s="8"/>
      <c r="FP1131" s="8"/>
      <c r="FQ1131" s="8"/>
      <c r="FR1131" s="8"/>
      <c r="FS1131" s="8"/>
      <c r="FT1131" s="8"/>
      <c r="FU1131" s="8"/>
      <c r="FV1131" s="8"/>
      <c r="FW1131" s="8"/>
      <c r="FX1131" s="8"/>
      <c r="FY1131" s="8"/>
      <c r="FZ1131" s="8"/>
      <c r="GA1131" s="8"/>
      <c r="GB1131" s="8"/>
      <c r="GC1131" s="8"/>
      <c r="GD1131" s="8"/>
      <c r="GE1131" s="8"/>
      <c r="GF1131" s="8"/>
      <c r="GG1131" s="8"/>
      <c r="GH1131" s="8"/>
      <c r="GI1131" s="8"/>
      <c r="GJ1131" s="8"/>
      <c r="GK1131" s="8"/>
      <c r="GL1131" s="8"/>
      <c r="GM1131" s="8"/>
      <c r="GN1131" s="8"/>
      <c r="GO1131" s="8"/>
      <c r="GP1131" s="8"/>
      <c r="GQ1131" s="8"/>
      <c r="GR1131" s="8"/>
      <c r="GS1131" s="8"/>
      <c r="GT1131" s="8"/>
      <c r="GU1131" s="8"/>
      <c r="GV1131" s="8"/>
      <c r="GW1131" s="8"/>
      <c r="GX1131" s="8"/>
      <c r="GY1131" s="8"/>
      <c r="GZ1131" s="8"/>
      <c r="HA1131" s="8"/>
      <c r="HB1131" s="8"/>
      <c r="HC1131" s="8"/>
      <c r="HD1131" s="8"/>
      <c r="HE1131" s="8"/>
      <c r="HF1131" s="8"/>
      <c r="HG1131" s="8"/>
      <c r="HH1131" s="8"/>
      <c r="HI1131" s="8"/>
      <c r="HJ1131" s="8"/>
      <c r="HK1131" s="8"/>
      <c r="HL1131" s="8"/>
      <c r="HM1131" s="8"/>
      <c r="HN1131" s="8"/>
      <c r="HO1131" s="8"/>
      <c r="HP1131" s="8"/>
      <c r="HQ1131" s="8"/>
      <c r="HR1131" s="8"/>
      <c r="HS1131" s="8"/>
      <c r="HT1131" s="8"/>
      <c r="HU1131" s="8"/>
      <c r="HV1131" s="8"/>
      <c r="HW1131" s="8"/>
      <c r="HX1131" s="8"/>
      <c r="HY1131" s="8"/>
      <c r="HZ1131" s="8"/>
      <c r="IA1131" s="8"/>
      <c r="IB1131" s="8"/>
      <c r="IC1131" s="8"/>
      <c r="ID1131" s="8"/>
      <c r="IE1131" s="8"/>
      <c r="IF1131" s="8"/>
    </row>
    <row r="1132" spans="1:240" ht="30" customHeight="1">
      <c r="A1132" s="5">
        <v>1130</v>
      </c>
      <c r="B1132" s="5"/>
      <c r="C1132" s="5"/>
      <c r="D1132" s="5" t="s">
        <v>68</v>
      </c>
      <c r="E1132" s="5" t="s">
        <v>48</v>
      </c>
      <c r="F1132" s="5" t="s">
        <v>48</v>
      </c>
      <c r="G1132" s="5" t="s">
        <v>48</v>
      </c>
      <c r="H1132" s="15">
        <f>12340*0.454</f>
        <v>5602.3600000000006</v>
      </c>
      <c r="I1132" s="5" t="s">
        <v>13</v>
      </c>
      <c r="J1132" s="15">
        <f>(3*358)/4.4</f>
        <v>244.09090909090907</v>
      </c>
      <c r="K1132" s="15">
        <f t="shared" si="33"/>
        <v>5.5560000000000009</v>
      </c>
      <c r="L1132" s="5">
        <v>1259</v>
      </c>
      <c r="M1132" s="5">
        <f t="shared" si="32"/>
        <v>3.8800000000000026</v>
      </c>
      <c r="N1132" s="5"/>
      <c r="O1132" s="15">
        <f>76900*1.6978</f>
        <v>130560.81999999999</v>
      </c>
      <c r="P1132" s="5"/>
      <c r="Q1132" s="5"/>
      <c r="R1132" s="5">
        <v>2</v>
      </c>
      <c r="S1132" s="5"/>
      <c r="T1132" s="5"/>
      <c r="U1132" s="5"/>
      <c r="V1132" s="5">
        <f>10*0.7457*R1132</f>
        <v>14.914000000000001</v>
      </c>
      <c r="W1132" s="5"/>
      <c r="X1132" s="5"/>
      <c r="Y1132" s="5" t="s">
        <v>48</v>
      </c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16" t="s">
        <v>48</v>
      </c>
      <c r="AN1132" s="5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8"/>
      <c r="BS1132" s="8"/>
      <c r="BT1132" s="8"/>
      <c r="BU1132" s="8"/>
      <c r="BV1132" s="8"/>
      <c r="BW1132" s="8"/>
      <c r="BX1132" s="8"/>
      <c r="BY1132" s="8"/>
      <c r="BZ1132" s="8"/>
      <c r="CA1132" s="8"/>
      <c r="CB1132" s="8"/>
      <c r="CC1132" s="8"/>
      <c r="CD1132" s="8"/>
      <c r="CE1132" s="8"/>
      <c r="CF1132" s="8"/>
      <c r="CG1132" s="8"/>
      <c r="CH1132" s="8"/>
      <c r="CI1132" s="8"/>
      <c r="CJ1132" s="8"/>
      <c r="CK1132" s="8"/>
      <c r="CL1132" s="8"/>
      <c r="CM1132" s="8"/>
      <c r="CN1132" s="8"/>
      <c r="CO1132" s="8"/>
      <c r="CP1132" s="8"/>
      <c r="CQ1132" s="8"/>
      <c r="CR1132" s="8"/>
      <c r="CS1132" s="8"/>
      <c r="CT1132" s="8"/>
      <c r="CU1132" s="8"/>
      <c r="CV1132" s="8"/>
      <c r="CW1132" s="8"/>
      <c r="CX1132" s="8"/>
      <c r="CY1132" s="8"/>
      <c r="CZ1132" s="8"/>
      <c r="DA1132" s="8"/>
      <c r="DB1132" s="8"/>
      <c r="DC1132" s="8"/>
      <c r="DD1132" s="8"/>
      <c r="DE1132" s="8"/>
      <c r="DF1132" s="8"/>
      <c r="DG1132" s="8"/>
      <c r="DH1132" s="8"/>
      <c r="DI1132" s="8"/>
      <c r="DJ1132" s="8"/>
      <c r="DK1132" s="8"/>
      <c r="DL1132" s="8"/>
      <c r="DM1132" s="8"/>
      <c r="DN1132" s="8"/>
      <c r="DO1132" s="8"/>
      <c r="DP1132" s="8"/>
      <c r="DQ1132" s="8"/>
      <c r="DR1132" s="8"/>
      <c r="DS1132" s="8"/>
      <c r="DT1132" s="8"/>
      <c r="DU1132" s="8"/>
      <c r="DV1132" s="8"/>
      <c r="DW1132" s="8"/>
      <c r="DX1132" s="8"/>
      <c r="DY1132" s="8"/>
      <c r="DZ1132" s="8"/>
      <c r="EA1132" s="8"/>
      <c r="EB1132" s="8"/>
      <c r="EC1132" s="8"/>
      <c r="ED1132" s="8"/>
      <c r="EE1132" s="8"/>
      <c r="EF1132" s="8"/>
      <c r="EG1132" s="8"/>
      <c r="EH1132" s="8"/>
      <c r="EI1132" s="8"/>
      <c r="EJ1132" s="8"/>
      <c r="EK1132" s="8"/>
      <c r="EL1132" s="8"/>
      <c r="EM1132" s="8"/>
      <c r="EN1132" s="8"/>
      <c r="EO1132" s="8"/>
      <c r="EP1132" s="8"/>
      <c r="EQ1132" s="8"/>
      <c r="ER1132" s="8"/>
      <c r="ES1132" s="8"/>
      <c r="ET1132" s="8"/>
      <c r="EU1132" s="8"/>
      <c r="EV1132" s="8"/>
      <c r="EW1132" s="8"/>
      <c r="EX1132" s="8"/>
      <c r="EY1132" s="8"/>
      <c r="EZ1132" s="8"/>
      <c r="FA1132" s="8"/>
      <c r="FB1132" s="8"/>
      <c r="FC1132" s="8"/>
      <c r="FD1132" s="8"/>
      <c r="FE1132" s="8"/>
      <c r="FF1132" s="8"/>
      <c r="FG1132" s="8"/>
      <c r="FH1132" s="8"/>
      <c r="FI1132" s="8"/>
      <c r="FJ1132" s="8"/>
      <c r="FK1132" s="8"/>
      <c r="FL1132" s="8"/>
      <c r="FM1132" s="8"/>
      <c r="FN1132" s="8"/>
      <c r="FO1132" s="8"/>
      <c r="FP1132" s="8"/>
      <c r="FQ1132" s="8"/>
      <c r="FR1132" s="8"/>
      <c r="FS1132" s="8"/>
      <c r="FT1132" s="8"/>
      <c r="FU1132" s="8"/>
      <c r="FV1132" s="8"/>
      <c r="FW1132" s="8"/>
      <c r="FX1132" s="8"/>
      <c r="FY1132" s="8"/>
      <c r="FZ1132" s="8"/>
      <c r="GA1132" s="8"/>
      <c r="GB1132" s="8"/>
      <c r="GC1132" s="8"/>
      <c r="GD1132" s="8"/>
      <c r="GE1132" s="8"/>
      <c r="GF1132" s="8"/>
      <c r="GG1132" s="8"/>
      <c r="GH1132" s="8"/>
      <c r="GI1132" s="8"/>
      <c r="GJ1132" s="8"/>
      <c r="GK1132" s="8"/>
      <c r="GL1132" s="8"/>
      <c r="GM1132" s="8"/>
      <c r="GN1132" s="8"/>
      <c r="GO1132" s="8"/>
      <c r="GP1132" s="8"/>
      <c r="GQ1132" s="8"/>
      <c r="GR1132" s="8"/>
      <c r="GS1132" s="8"/>
      <c r="GT1132" s="8"/>
      <c r="GU1132" s="8"/>
      <c r="GV1132" s="8"/>
      <c r="GW1132" s="8"/>
      <c r="GX1132" s="8"/>
      <c r="GY1132" s="8"/>
      <c r="GZ1132" s="8"/>
      <c r="HA1132" s="8"/>
      <c r="HB1132" s="8"/>
      <c r="HC1132" s="8"/>
      <c r="HD1132" s="8"/>
      <c r="HE1132" s="8"/>
      <c r="HF1132" s="8"/>
      <c r="HG1132" s="8"/>
      <c r="HH1132" s="8"/>
      <c r="HI1132" s="8"/>
      <c r="HJ1132" s="8"/>
      <c r="HK1132" s="8"/>
      <c r="HL1132" s="8"/>
      <c r="HM1132" s="8"/>
      <c r="HN1132" s="8"/>
      <c r="HO1132" s="8"/>
      <c r="HP1132" s="8"/>
      <c r="HQ1132" s="8"/>
      <c r="HR1132" s="8"/>
      <c r="HS1132" s="8"/>
      <c r="HT1132" s="8"/>
      <c r="HU1132" s="8"/>
      <c r="HV1132" s="8"/>
      <c r="HW1132" s="8"/>
      <c r="HX1132" s="8"/>
      <c r="HY1132" s="8"/>
      <c r="HZ1132" s="8"/>
      <c r="IA1132" s="8"/>
      <c r="IB1132" s="8"/>
      <c r="IC1132" s="8"/>
      <c r="ID1132" s="8"/>
      <c r="IE1132" s="8"/>
      <c r="IF1132" s="8"/>
    </row>
    <row r="1133" spans="1:240" ht="30" customHeight="1">
      <c r="A1133" s="5">
        <v>1131</v>
      </c>
      <c r="B1133" s="5"/>
      <c r="C1133" s="5"/>
      <c r="D1133" s="5" t="s">
        <v>68</v>
      </c>
      <c r="E1133" s="5" t="s">
        <v>48</v>
      </c>
      <c r="F1133" s="5" t="s">
        <v>48</v>
      </c>
      <c r="G1133" s="5" t="s">
        <v>48</v>
      </c>
      <c r="H1133" s="15">
        <f>12820*0.454</f>
        <v>5820.28</v>
      </c>
      <c r="I1133" s="5" t="s">
        <v>13</v>
      </c>
      <c r="J1133" s="15">
        <f>(3*346)/4.4</f>
        <v>235.90909090909088</v>
      </c>
      <c r="K1133" s="15">
        <f t="shared" si="33"/>
        <v>5.5560000000000009</v>
      </c>
      <c r="L1133" s="5">
        <v>1216.8</v>
      </c>
      <c r="M1133" s="5">
        <f t="shared" si="32"/>
        <v>3.8800000000000026</v>
      </c>
      <c r="N1133" s="5"/>
      <c r="O1133" s="15">
        <f>69100*1.6978</f>
        <v>117317.98</v>
      </c>
      <c r="P1133" s="5"/>
      <c r="Q1133" s="5"/>
      <c r="R1133" s="5">
        <v>2</v>
      </c>
      <c r="S1133" s="5"/>
      <c r="T1133" s="5"/>
      <c r="U1133" s="5"/>
      <c r="V1133" s="5">
        <f>7.5*0.7457*R1133</f>
        <v>11.185500000000001</v>
      </c>
      <c r="W1133" s="5"/>
      <c r="X1133" s="5"/>
      <c r="Y1133" s="5" t="s">
        <v>48</v>
      </c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16" t="s">
        <v>48</v>
      </c>
      <c r="AN1133" s="5"/>
      <c r="AO1133" s="8"/>
      <c r="AP1133" s="8"/>
      <c r="AQ1133" s="8"/>
      <c r="AR1133" s="8"/>
      <c r="AS1133" s="8"/>
      <c r="AT1133" s="8"/>
      <c r="AU1133" s="8"/>
      <c r="AV1133" s="8"/>
      <c r="AW1133" s="8"/>
      <c r="AX1133" s="8"/>
      <c r="AY1133" s="8"/>
      <c r="AZ1133" s="8"/>
      <c r="BA1133" s="8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8"/>
      <c r="BS1133" s="8"/>
      <c r="BT1133" s="8"/>
      <c r="BU1133" s="8"/>
      <c r="BV1133" s="8"/>
      <c r="BW1133" s="8"/>
      <c r="BX1133" s="8"/>
      <c r="BY1133" s="8"/>
      <c r="BZ1133" s="8"/>
      <c r="CA1133" s="8"/>
      <c r="CB1133" s="8"/>
      <c r="CC1133" s="8"/>
      <c r="CD1133" s="8"/>
      <c r="CE1133" s="8"/>
      <c r="CF1133" s="8"/>
      <c r="CG1133" s="8"/>
      <c r="CH1133" s="8"/>
      <c r="CI1133" s="8"/>
      <c r="CJ1133" s="8"/>
      <c r="CK1133" s="8"/>
      <c r="CL1133" s="8"/>
      <c r="CM1133" s="8"/>
      <c r="CN1133" s="8"/>
      <c r="CO1133" s="8"/>
      <c r="CP1133" s="8"/>
      <c r="CQ1133" s="8"/>
      <c r="CR1133" s="8"/>
      <c r="CS1133" s="8"/>
      <c r="CT1133" s="8"/>
      <c r="CU1133" s="8"/>
      <c r="CV1133" s="8"/>
      <c r="CW1133" s="8"/>
      <c r="CX1133" s="8"/>
      <c r="CY1133" s="8"/>
      <c r="CZ1133" s="8"/>
      <c r="DA1133" s="8"/>
      <c r="DB1133" s="8"/>
      <c r="DC1133" s="8"/>
      <c r="DD1133" s="8"/>
      <c r="DE1133" s="8"/>
      <c r="DF1133" s="8"/>
      <c r="DG1133" s="8"/>
      <c r="DH1133" s="8"/>
      <c r="DI1133" s="8"/>
      <c r="DJ1133" s="8"/>
      <c r="DK1133" s="8"/>
      <c r="DL1133" s="8"/>
      <c r="DM1133" s="8"/>
      <c r="DN1133" s="8"/>
      <c r="DO1133" s="8"/>
      <c r="DP1133" s="8"/>
      <c r="DQ1133" s="8"/>
      <c r="DR1133" s="8"/>
      <c r="DS1133" s="8"/>
      <c r="DT1133" s="8"/>
      <c r="DU1133" s="8"/>
      <c r="DV1133" s="8"/>
      <c r="DW1133" s="8"/>
      <c r="DX1133" s="8"/>
      <c r="DY1133" s="8"/>
      <c r="DZ1133" s="8"/>
      <c r="EA1133" s="8"/>
      <c r="EB1133" s="8"/>
      <c r="EC1133" s="8"/>
      <c r="ED1133" s="8"/>
      <c r="EE1133" s="8"/>
      <c r="EF1133" s="8"/>
      <c r="EG1133" s="8"/>
      <c r="EH1133" s="8"/>
      <c r="EI1133" s="8"/>
      <c r="EJ1133" s="8"/>
      <c r="EK1133" s="8"/>
      <c r="EL1133" s="8"/>
      <c r="EM1133" s="8"/>
      <c r="EN1133" s="8"/>
      <c r="EO1133" s="8"/>
      <c r="EP1133" s="8"/>
      <c r="EQ1133" s="8"/>
      <c r="ER1133" s="8"/>
      <c r="ES1133" s="8"/>
      <c r="ET1133" s="8"/>
      <c r="EU1133" s="8"/>
      <c r="EV1133" s="8"/>
      <c r="EW1133" s="8"/>
      <c r="EX1133" s="8"/>
      <c r="EY1133" s="8"/>
      <c r="EZ1133" s="8"/>
      <c r="FA1133" s="8"/>
      <c r="FB1133" s="8"/>
      <c r="FC1133" s="8"/>
      <c r="FD1133" s="8"/>
      <c r="FE1133" s="8"/>
      <c r="FF1133" s="8"/>
      <c r="FG1133" s="8"/>
      <c r="FH1133" s="8"/>
      <c r="FI1133" s="8"/>
      <c r="FJ1133" s="8"/>
      <c r="FK1133" s="8"/>
      <c r="FL1133" s="8"/>
      <c r="FM1133" s="8"/>
      <c r="FN1133" s="8"/>
      <c r="FO1133" s="8"/>
      <c r="FP1133" s="8"/>
      <c r="FQ1133" s="8"/>
      <c r="FR1133" s="8"/>
      <c r="FS1133" s="8"/>
      <c r="FT1133" s="8"/>
      <c r="FU1133" s="8"/>
      <c r="FV1133" s="8"/>
      <c r="FW1133" s="8"/>
      <c r="FX1133" s="8"/>
      <c r="FY1133" s="8"/>
      <c r="FZ1133" s="8"/>
      <c r="GA1133" s="8"/>
      <c r="GB1133" s="8"/>
      <c r="GC1133" s="8"/>
      <c r="GD1133" s="8"/>
      <c r="GE1133" s="8"/>
      <c r="GF1133" s="8"/>
      <c r="GG1133" s="8"/>
      <c r="GH1133" s="8"/>
      <c r="GI1133" s="8"/>
      <c r="GJ1133" s="8"/>
      <c r="GK1133" s="8"/>
      <c r="GL1133" s="8"/>
      <c r="GM1133" s="8"/>
      <c r="GN1133" s="8"/>
      <c r="GO1133" s="8"/>
      <c r="GP1133" s="8"/>
      <c r="GQ1133" s="8"/>
      <c r="GR1133" s="8"/>
      <c r="GS1133" s="8"/>
      <c r="GT1133" s="8"/>
      <c r="GU1133" s="8"/>
      <c r="GV1133" s="8"/>
      <c r="GW1133" s="8"/>
      <c r="GX1133" s="8"/>
      <c r="GY1133" s="8"/>
      <c r="GZ1133" s="8"/>
      <c r="HA1133" s="8"/>
      <c r="HB1133" s="8"/>
      <c r="HC1133" s="8"/>
      <c r="HD1133" s="8"/>
      <c r="HE1133" s="8"/>
      <c r="HF1133" s="8"/>
      <c r="HG1133" s="8"/>
      <c r="HH1133" s="8"/>
      <c r="HI1133" s="8"/>
      <c r="HJ1133" s="8"/>
      <c r="HK1133" s="8"/>
      <c r="HL1133" s="8"/>
      <c r="HM1133" s="8"/>
      <c r="HN1133" s="8"/>
      <c r="HO1133" s="8"/>
      <c r="HP1133" s="8"/>
      <c r="HQ1133" s="8"/>
      <c r="HR1133" s="8"/>
      <c r="HS1133" s="8"/>
      <c r="HT1133" s="8"/>
      <c r="HU1133" s="8"/>
      <c r="HV1133" s="8"/>
      <c r="HW1133" s="8"/>
      <c r="HX1133" s="8"/>
      <c r="HY1133" s="8"/>
      <c r="HZ1133" s="8"/>
      <c r="IA1133" s="8"/>
      <c r="IB1133" s="8"/>
      <c r="IC1133" s="8"/>
      <c r="ID1133" s="8"/>
      <c r="IE1133" s="8"/>
      <c r="IF1133" s="8"/>
    </row>
    <row r="1134" spans="1:240" ht="30" customHeight="1">
      <c r="A1134" s="5">
        <v>1132</v>
      </c>
      <c r="B1134" s="5"/>
      <c r="C1134" s="5"/>
      <c r="D1134" s="5" t="s">
        <v>68</v>
      </c>
      <c r="E1134" s="5" t="s">
        <v>48</v>
      </c>
      <c r="F1134" s="5" t="s">
        <v>48</v>
      </c>
      <c r="G1134" s="5" t="s">
        <v>48</v>
      </c>
      <c r="H1134" s="15">
        <f>12880*0.454</f>
        <v>5847.52</v>
      </c>
      <c r="I1134" s="5" t="s">
        <v>13</v>
      </c>
      <c r="J1134" s="15">
        <f>(3*373)/4.4</f>
        <v>254.31818181818178</v>
      </c>
      <c r="K1134" s="15">
        <f t="shared" si="33"/>
        <v>5.5560000000000009</v>
      </c>
      <c r="L1134" s="5">
        <v>1311.8</v>
      </c>
      <c r="M1134" s="5">
        <f t="shared" si="32"/>
        <v>3.8800000000000026</v>
      </c>
      <c r="N1134" s="5"/>
      <c r="O1134" s="15">
        <f>75700*1.6978</f>
        <v>128523.45999999999</v>
      </c>
      <c r="P1134" s="5"/>
      <c r="Q1134" s="5"/>
      <c r="R1134" s="5">
        <v>2</v>
      </c>
      <c r="S1134" s="5"/>
      <c r="T1134" s="5"/>
      <c r="U1134" s="5"/>
      <c r="V1134" s="5">
        <f>10*0.7457*R1134</f>
        <v>14.914000000000001</v>
      </c>
      <c r="W1134" s="5"/>
      <c r="X1134" s="5"/>
      <c r="Y1134" s="5" t="s">
        <v>48</v>
      </c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16" t="s">
        <v>48</v>
      </c>
      <c r="AN1134" s="5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8"/>
      <c r="BS1134" s="8"/>
      <c r="BT1134" s="8"/>
      <c r="BU1134" s="8"/>
      <c r="BV1134" s="8"/>
      <c r="BW1134" s="8"/>
      <c r="BX1134" s="8"/>
      <c r="BY1134" s="8"/>
      <c r="BZ1134" s="8"/>
      <c r="CA1134" s="8"/>
      <c r="CB1134" s="8"/>
      <c r="CC1134" s="8"/>
      <c r="CD1134" s="8"/>
      <c r="CE1134" s="8"/>
      <c r="CF1134" s="8"/>
      <c r="CG1134" s="8"/>
      <c r="CH1134" s="8"/>
      <c r="CI1134" s="8"/>
      <c r="CJ1134" s="8"/>
      <c r="CK1134" s="8"/>
      <c r="CL1134" s="8"/>
      <c r="CM1134" s="8"/>
      <c r="CN1134" s="8"/>
      <c r="CO1134" s="8"/>
      <c r="CP1134" s="8"/>
      <c r="CQ1134" s="8"/>
      <c r="CR1134" s="8"/>
      <c r="CS1134" s="8"/>
      <c r="CT1134" s="8"/>
      <c r="CU1134" s="8"/>
      <c r="CV1134" s="8"/>
      <c r="CW1134" s="8"/>
      <c r="CX1134" s="8"/>
      <c r="CY1134" s="8"/>
      <c r="CZ1134" s="8"/>
      <c r="DA1134" s="8"/>
      <c r="DB1134" s="8"/>
      <c r="DC1134" s="8"/>
      <c r="DD1134" s="8"/>
      <c r="DE1134" s="8"/>
      <c r="DF1134" s="8"/>
      <c r="DG1134" s="8"/>
      <c r="DH1134" s="8"/>
      <c r="DI1134" s="8"/>
      <c r="DJ1134" s="8"/>
      <c r="DK1134" s="8"/>
      <c r="DL1134" s="8"/>
      <c r="DM1134" s="8"/>
      <c r="DN1134" s="8"/>
      <c r="DO1134" s="8"/>
      <c r="DP1134" s="8"/>
      <c r="DQ1134" s="8"/>
      <c r="DR1134" s="8"/>
      <c r="DS1134" s="8"/>
      <c r="DT1134" s="8"/>
      <c r="DU1134" s="8"/>
      <c r="DV1134" s="8"/>
      <c r="DW1134" s="8"/>
      <c r="DX1134" s="8"/>
      <c r="DY1134" s="8"/>
      <c r="DZ1134" s="8"/>
      <c r="EA1134" s="8"/>
      <c r="EB1134" s="8"/>
      <c r="EC1134" s="8"/>
      <c r="ED1134" s="8"/>
      <c r="EE1134" s="8"/>
      <c r="EF1134" s="8"/>
      <c r="EG1134" s="8"/>
      <c r="EH1134" s="8"/>
      <c r="EI1134" s="8"/>
      <c r="EJ1134" s="8"/>
      <c r="EK1134" s="8"/>
      <c r="EL1134" s="8"/>
      <c r="EM1134" s="8"/>
      <c r="EN1134" s="8"/>
      <c r="EO1134" s="8"/>
      <c r="EP1134" s="8"/>
      <c r="EQ1134" s="8"/>
      <c r="ER1134" s="8"/>
      <c r="ES1134" s="8"/>
      <c r="ET1134" s="8"/>
      <c r="EU1134" s="8"/>
      <c r="EV1134" s="8"/>
      <c r="EW1134" s="8"/>
      <c r="EX1134" s="8"/>
      <c r="EY1134" s="8"/>
      <c r="EZ1134" s="8"/>
      <c r="FA1134" s="8"/>
      <c r="FB1134" s="8"/>
      <c r="FC1134" s="8"/>
      <c r="FD1134" s="8"/>
      <c r="FE1134" s="8"/>
      <c r="FF1134" s="8"/>
      <c r="FG1134" s="8"/>
      <c r="FH1134" s="8"/>
      <c r="FI1134" s="8"/>
      <c r="FJ1134" s="8"/>
      <c r="FK1134" s="8"/>
      <c r="FL1134" s="8"/>
      <c r="FM1134" s="8"/>
      <c r="FN1134" s="8"/>
      <c r="FO1134" s="8"/>
      <c r="FP1134" s="8"/>
      <c r="FQ1134" s="8"/>
      <c r="FR1134" s="8"/>
      <c r="FS1134" s="8"/>
      <c r="FT1134" s="8"/>
      <c r="FU1134" s="8"/>
      <c r="FV1134" s="8"/>
      <c r="FW1134" s="8"/>
      <c r="FX1134" s="8"/>
      <c r="FY1134" s="8"/>
      <c r="FZ1134" s="8"/>
      <c r="GA1134" s="8"/>
      <c r="GB1134" s="8"/>
      <c r="GC1134" s="8"/>
      <c r="GD1134" s="8"/>
      <c r="GE1134" s="8"/>
      <c r="GF1134" s="8"/>
      <c r="GG1134" s="8"/>
      <c r="GH1134" s="8"/>
      <c r="GI1134" s="8"/>
      <c r="GJ1134" s="8"/>
      <c r="GK1134" s="8"/>
      <c r="GL1134" s="8"/>
      <c r="GM1134" s="8"/>
      <c r="GN1134" s="8"/>
      <c r="GO1134" s="8"/>
      <c r="GP1134" s="8"/>
      <c r="GQ1134" s="8"/>
      <c r="GR1134" s="8"/>
      <c r="GS1134" s="8"/>
      <c r="GT1134" s="8"/>
      <c r="GU1134" s="8"/>
      <c r="GV1134" s="8"/>
      <c r="GW1134" s="8"/>
      <c r="GX1134" s="8"/>
      <c r="GY1134" s="8"/>
      <c r="GZ1134" s="8"/>
      <c r="HA1134" s="8"/>
      <c r="HB1134" s="8"/>
      <c r="HC1134" s="8"/>
      <c r="HD1134" s="8"/>
      <c r="HE1134" s="8"/>
      <c r="HF1134" s="8"/>
      <c r="HG1134" s="8"/>
      <c r="HH1134" s="8"/>
      <c r="HI1134" s="8"/>
      <c r="HJ1134" s="8"/>
      <c r="HK1134" s="8"/>
      <c r="HL1134" s="8"/>
      <c r="HM1134" s="8"/>
      <c r="HN1134" s="8"/>
      <c r="HO1134" s="8"/>
      <c r="HP1134" s="8"/>
      <c r="HQ1134" s="8"/>
      <c r="HR1134" s="8"/>
      <c r="HS1134" s="8"/>
      <c r="HT1134" s="8"/>
      <c r="HU1134" s="8"/>
      <c r="HV1134" s="8"/>
      <c r="HW1134" s="8"/>
      <c r="HX1134" s="8"/>
      <c r="HY1134" s="8"/>
      <c r="HZ1134" s="8"/>
      <c r="IA1134" s="8"/>
      <c r="IB1134" s="8"/>
      <c r="IC1134" s="8"/>
      <c r="ID1134" s="8"/>
      <c r="IE1134" s="8"/>
      <c r="IF1134" s="8"/>
    </row>
    <row r="1135" spans="1:240" ht="30" customHeight="1">
      <c r="A1135" s="5">
        <v>1133</v>
      </c>
      <c r="B1135" s="5"/>
      <c r="C1135" s="5"/>
      <c r="D1135" s="5" t="s">
        <v>68</v>
      </c>
      <c r="E1135" s="5" t="s">
        <v>48</v>
      </c>
      <c r="F1135" s="5" t="s">
        <v>48</v>
      </c>
      <c r="G1135" s="5" t="s">
        <v>48</v>
      </c>
      <c r="H1135" s="15">
        <f>12460*0.454</f>
        <v>5656.84</v>
      </c>
      <c r="I1135" s="5" t="s">
        <v>13</v>
      </c>
      <c r="J1135" s="15">
        <f>(3*393)/4.4</f>
        <v>267.95454545454544</v>
      </c>
      <c r="K1135" s="15">
        <f t="shared" si="33"/>
        <v>5.5560000000000009</v>
      </c>
      <c r="L1135" s="5">
        <v>1382.1</v>
      </c>
      <c r="M1135" s="5">
        <f t="shared" si="32"/>
        <v>3.8800000000000026</v>
      </c>
      <c r="N1135" s="5"/>
      <c r="O1135" s="15">
        <f>87500*1.6978</f>
        <v>148557.5</v>
      </c>
      <c r="P1135" s="5"/>
      <c r="Q1135" s="5"/>
      <c r="R1135" s="5">
        <v>2</v>
      </c>
      <c r="S1135" s="5"/>
      <c r="T1135" s="5"/>
      <c r="U1135" s="5"/>
      <c r="V1135" s="5">
        <f>15*0.7457*R1135</f>
        <v>22.371000000000002</v>
      </c>
      <c r="W1135" s="5"/>
      <c r="X1135" s="5"/>
      <c r="Y1135" s="5" t="s">
        <v>48</v>
      </c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16" t="s">
        <v>48</v>
      </c>
      <c r="AN1135" s="5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8"/>
      <c r="BS1135" s="8"/>
      <c r="BT1135" s="8"/>
      <c r="BU1135" s="8"/>
      <c r="BV1135" s="8"/>
      <c r="BW1135" s="8"/>
      <c r="BX1135" s="8"/>
      <c r="BY1135" s="8"/>
      <c r="BZ1135" s="8"/>
      <c r="CA1135" s="8"/>
      <c r="CB1135" s="8"/>
      <c r="CC1135" s="8"/>
      <c r="CD1135" s="8"/>
      <c r="CE1135" s="8"/>
      <c r="CF1135" s="8"/>
      <c r="CG1135" s="8"/>
      <c r="CH1135" s="8"/>
      <c r="CI1135" s="8"/>
      <c r="CJ1135" s="8"/>
      <c r="CK1135" s="8"/>
      <c r="CL1135" s="8"/>
      <c r="CM1135" s="8"/>
      <c r="CN1135" s="8"/>
      <c r="CO1135" s="8"/>
      <c r="CP1135" s="8"/>
      <c r="CQ1135" s="8"/>
      <c r="CR1135" s="8"/>
      <c r="CS1135" s="8"/>
      <c r="CT1135" s="8"/>
      <c r="CU1135" s="8"/>
      <c r="CV1135" s="8"/>
      <c r="CW1135" s="8"/>
      <c r="CX1135" s="8"/>
      <c r="CY1135" s="8"/>
      <c r="CZ1135" s="8"/>
      <c r="DA1135" s="8"/>
      <c r="DB1135" s="8"/>
      <c r="DC1135" s="8"/>
      <c r="DD1135" s="8"/>
      <c r="DE1135" s="8"/>
      <c r="DF1135" s="8"/>
      <c r="DG1135" s="8"/>
      <c r="DH1135" s="8"/>
      <c r="DI1135" s="8"/>
      <c r="DJ1135" s="8"/>
      <c r="DK1135" s="8"/>
      <c r="DL1135" s="8"/>
      <c r="DM1135" s="8"/>
      <c r="DN1135" s="8"/>
      <c r="DO1135" s="8"/>
      <c r="DP1135" s="8"/>
      <c r="DQ1135" s="8"/>
      <c r="DR1135" s="8"/>
      <c r="DS1135" s="8"/>
      <c r="DT1135" s="8"/>
      <c r="DU1135" s="8"/>
      <c r="DV1135" s="8"/>
      <c r="DW1135" s="8"/>
      <c r="DX1135" s="8"/>
      <c r="DY1135" s="8"/>
      <c r="DZ1135" s="8"/>
      <c r="EA1135" s="8"/>
      <c r="EB1135" s="8"/>
      <c r="EC1135" s="8"/>
      <c r="ED1135" s="8"/>
      <c r="EE1135" s="8"/>
      <c r="EF1135" s="8"/>
      <c r="EG1135" s="8"/>
      <c r="EH1135" s="8"/>
      <c r="EI1135" s="8"/>
      <c r="EJ1135" s="8"/>
      <c r="EK1135" s="8"/>
      <c r="EL1135" s="8"/>
      <c r="EM1135" s="8"/>
      <c r="EN1135" s="8"/>
      <c r="EO1135" s="8"/>
      <c r="EP1135" s="8"/>
      <c r="EQ1135" s="8"/>
      <c r="ER1135" s="8"/>
      <c r="ES1135" s="8"/>
      <c r="ET1135" s="8"/>
      <c r="EU1135" s="8"/>
      <c r="EV1135" s="8"/>
      <c r="EW1135" s="8"/>
      <c r="EX1135" s="8"/>
      <c r="EY1135" s="8"/>
      <c r="EZ1135" s="8"/>
      <c r="FA1135" s="8"/>
      <c r="FB1135" s="8"/>
      <c r="FC1135" s="8"/>
      <c r="FD1135" s="8"/>
      <c r="FE1135" s="8"/>
      <c r="FF1135" s="8"/>
      <c r="FG1135" s="8"/>
      <c r="FH1135" s="8"/>
      <c r="FI1135" s="8"/>
      <c r="FJ1135" s="8"/>
      <c r="FK1135" s="8"/>
      <c r="FL1135" s="8"/>
      <c r="FM1135" s="8"/>
      <c r="FN1135" s="8"/>
      <c r="FO1135" s="8"/>
      <c r="FP1135" s="8"/>
      <c r="FQ1135" s="8"/>
      <c r="FR1135" s="8"/>
      <c r="FS1135" s="8"/>
      <c r="FT1135" s="8"/>
      <c r="FU1135" s="8"/>
      <c r="FV1135" s="8"/>
      <c r="FW1135" s="8"/>
      <c r="FX1135" s="8"/>
      <c r="FY1135" s="8"/>
      <c r="FZ1135" s="8"/>
      <c r="GA1135" s="8"/>
      <c r="GB1135" s="8"/>
      <c r="GC1135" s="8"/>
      <c r="GD1135" s="8"/>
      <c r="GE1135" s="8"/>
      <c r="GF1135" s="8"/>
      <c r="GG1135" s="8"/>
      <c r="GH1135" s="8"/>
      <c r="GI1135" s="8"/>
      <c r="GJ1135" s="8"/>
      <c r="GK1135" s="8"/>
      <c r="GL1135" s="8"/>
      <c r="GM1135" s="8"/>
      <c r="GN1135" s="8"/>
      <c r="GO1135" s="8"/>
      <c r="GP1135" s="8"/>
      <c r="GQ1135" s="8"/>
      <c r="GR1135" s="8"/>
      <c r="GS1135" s="8"/>
      <c r="GT1135" s="8"/>
      <c r="GU1135" s="8"/>
      <c r="GV1135" s="8"/>
      <c r="GW1135" s="8"/>
      <c r="GX1135" s="8"/>
      <c r="GY1135" s="8"/>
      <c r="GZ1135" s="8"/>
      <c r="HA1135" s="8"/>
      <c r="HB1135" s="8"/>
      <c r="HC1135" s="8"/>
      <c r="HD1135" s="8"/>
      <c r="HE1135" s="8"/>
      <c r="HF1135" s="8"/>
      <c r="HG1135" s="8"/>
      <c r="HH1135" s="8"/>
      <c r="HI1135" s="8"/>
      <c r="HJ1135" s="8"/>
      <c r="HK1135" s="8"/>
      <c r="HL1135" s="8"/>
      <c r="HM1135" s="8"/>
      <c r="HN1135" s="8"/>
      <c r="HO1135" s="8"/>
      <c r="HP1135" s="8"/>
      <c r="HQ1135" s="8"/>
      <c r="HR1135" s="8"/>
      <c r="HS1135" s="8"/>
      <c r="HT1135" s="8"/>
      <c r="HU1135" s="8"/>
      <c r="HV1135" s="8"/>
      <c r="HW1135" s="8"/>
      <c r="HX1135" s="8"/>
      <c r="HY1135" s="8"/>
      <c r="HZ1135" s="8"/>
      <c r="IA1135" s="8"/>
      <c r="IB1135" s="8"/>
      <c r="IC1135" s="8"/>
      <c r="ID1135" s="8"/>
      <c r="IE1135" s="8"/>
      <c r="IF1135" s="8"/>
    </row>
    <row r="1136" spans="1:240" ht="30" customHeight="1">
      <c r="A1136" s="5">
        <v>1134</v>
      </c>
      <c r="B1136" s="5"/>
      <c r="C1136" s="5"/>
      <c r="D1136" s="5" t="s">
        <v>68</v>
      </c>
      <c r="E1136" s="5" t="s">
        <v>48</v>
      </c>
      <c r="F1136" s="5" t="s">
        <v>48</v>
      </c>
      <c r="G1136" s="5" t="s">
        <v>48</v>
      </c>
      <c r="H1136" s="15">
        <f>13000*0.454</f>
        <v>5902</v>
      </c>
      <c r="I1136" s="5" t="s">
        <v>13</v>
      </c>
      <c r="J1136" s="15">
        <f>(3*414)/4.4</f>
        <v>282.27272727272725</v>
      </c>
      <c r="K1136" s="15">
        <f t="shared" si="33"/>
        <v>5.5560000000000009</v>
      </c>
      <c r="L1136" s="5">
        <v>1456</v>
      </c>
      <c r="M1136" s="5">
        <f t="shared" si="32"/>
        <v>3.8800000000000026</v>
      </c>
      <c r="N1136" s="5"/>
      <c r="O1136" s="15">
        <f>86000*1.6978</f>
        <v>146010.79999999999</v>
      </c>
      <c r="P1136" s="5"/>
      <c r="Q1136" s="5"/>
      <c r="R1136" s="5">
        <v>2</v>
      </c>
      <c r="S1136" s="5"/>
      <c r="T1136" s="5"/>
      <c r="U1136" s="5"/>
      <c r="V1136" s="5">
        <f>15*0.7457*R1136</f>
        <v>22.371000000000002</v>
      </c>
      <c r="W1136" s="5"/>
      <c r="X1136" s="5"/>
      <c r="Y1136" s="5" t="s">
        <v>48</v>
      </c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16" t="s">
        <v>48</v>
      </c>
      <c r="AN1136" s="5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8"/>
      <c r="BS1136" s="8"/>
      <c r="BT1136" s="8"/>
      <c r="BU1136" s="8"/>
      <c r="BV1136" s="8"/>
      <c r="BW1136" s="8"/>
      <c r="BX1136" s="8"/>
      <c r="BY1136" s="8"/>
      <c r="BZ1136" s="8"/>
      <c r="CA1136" s="8"/>
      <c r="CB1136" s="8"/>
      <c r="CC1136" s="8"/>
      <c r="CD1136" s="8"/>
      <c r="CE1136" s="8"/>
      <c r="CF1136" s="8"/>
      <c r="CG1136" s="8"/>
      <c r="CH1136" s="8"/>
      <c r="CI1136" s="8"/>
      <c r="CJ1136" s="8"/>
      <c r="CK1136" s="8"/>
      <c r="CL1136" s="8"/>
      <c r="CM1136" s="8"/>
      <c r="CN1136" s="8"/>
      <c r="CO1136" s="8"/>
      <c r="CP1136" s="8"/>
      <c r="CQ1136" s="8"/>
      <c r="CR1136" s="8"/>
      <c r="CS1136" s="8"/>
      <c r="CT1136" s="8"/>
      <c r="CU1136" s="8"/>
      <c r="CV1136" s="8"/>
      <c r="CW1136" s="8"/>
      <c r="CX1136" s="8"/>
      <c r="CY1136" s="8"/>
      <c r="CZ1136" s="8"/>
      <c r="DA1136" s="8"/>
      <c r="DB1136" s="8"/>
      <c r="DC1136" s="8"/>
      <c r="DD1136" s="8"/>
      <c r="DE1136" s="8"/>
      <c r="DF1136" s="8"/>
      <c r="DG1136" s="8"/>
      <c r="DH1136" s="8"/>
      <c r="DI1136" s="8"/>
      <c r="DJ1136" s="8"/>
      <c r="DK1136" s="8"/>
      <c r="DL1136" s="8"/>
      <c r="DM1136" s="8"/>
      <c r="DN1136" s="8"/>
      <c r="DO1136" s="8"/>
      <c r="DP1136" s="8"/>
      <c r="DQ1136" s="8"/>
      <c r="DR1136" s="8"/>
      <c r="DS1136" s="8"/>
      <c r="DT1136" s="8"/>
      <c r="DU1136" s="8"/>
      <c r="DV1136" s="8"/>
      <c r="DW1136" s="8"/>
      <c r="DX1136" s="8"/>
      <c r="DY1136" s="8"/>
      <c r="DZ1136" s="8"/>
      <c r="EA1136" s="8"/>
      <c r="EB1136" s="8"/>
      <c r="EC1136" s="8"/>
      <c r="ED1136" s="8"/>
      <c r="EE1136" s="8"/>
      <c r="EF1136" s="8"/>
      <c r="EG1136" s="8"/>
      <c r="EH1136" s="8"/>
      <c r="EI1136" s="8"/>
      <c r="EJ1136" s="8"/>
      <c r="EK1136" s="8"/>
      <c r="EL1136" s="8"/>
      <c r="EM1136" s="8"/>
      <c r="EN1136" s="8"/>
      <c r="EO1136" s="8"/>
      <c r="EP1136" s="8"/>
      <c r="EQ1136" s="8"/>
      <c r="ER1136" s="8"/>
      <c r="ES1136" s="8"/>
      <c r="ET1136" s="8"/>
      <c r="EU1136" s="8"/>
      <c r="EV1136" s="8"/>
      <c r="EW1136" s="8"/>
      <c r="EX1136" s="8"/>
      <c r="EY1136" s="8"/>
      <c r="EZ1136" s="8"/>
      <c r="FA1136" s="8"/>
      <c r="FB1136" s="8"/>
      <c r="FC1136" s="8"/>
      <c r="FD1136" s="8"/>
      <c r="FE1136" s="8"/>
      <c r="FF1136" s="8"/>
      <c r="FG1136" s="8"/>
      <c r="FH1136" s="8"/>
      <c r="FI1136" s="8"/>
      <c r="FJ1136" s="8"/>
      <c r="FK1136" s="8"/>
      <c r="FL1136" s="8"/>
      <c r="FM1136" s="8"/>
      <c r="FN1136" s="8"/>
      <c r="FO1136" s="8"/>
      <c r="FP1136" s="8"/>
      <c r="FQ1136" s="8"/>
      <c r="FR1136" s="8"/>
      <c r="FS1136" s="8"/>
      <c r="FT1136" s="8"/>
      <c r="FU1136" s="8"/>
      <c r="FV1136" s="8"/>
      <c r="FW1136" s="8"/>
      <c r="FX1136" s="8"/>
      <c r="FY1136" s="8"/>
      <c r="FZ1136" s="8"/>
      <c r="GA1136" s="8"/>
      <c r="GB1136" s="8"/>
      <c r="GC1136" s="8"/>
      <c r="GD1136" s="8"/>
      <c r="GE1136" s="8"/>
      <c r="GF1136" s="8"/>
      <c r="GG1136" s="8"/>
      <c r="GH1136" s="8"/>
      <c r="GI1136" s="8"/>
      <c r="GJ1136" s="8"/>
      <c r="GK1136" s="8"/>
      <c r="GL1136" s="8"/>
      <c r="GM1136" s="8"/>
      <c r="GN1136" s="8"/>
      <c r="GO1136" s="8"/>
      <c r="GP1136" s="8"/>
      <c r="GQ1136" s="8"/>
      <c r="GR1136" s="8"/>
      <c r="GS1136" s="8"/>
      <c r="GT1136" s="8"/>
      <c r="GU1136" s="8"/>
      <c r="GV1136" s="8"/>
      <c r="GW1136" s="8"/>
      <c r="GX1136" s="8"/>
      <c r="GY1136" s="8"/>
      <c r="GZ1136" s="8"/>
      <c r="HA1136" s="8"/>
      <c r="HB1136" s="8"/>
      <c r="HC1136" s="8"/>
      <c r="HD1136" s="8"/>
      <c r="HE1136" s="8"/>
      <c r="HF1136" s="8"/>
      <c r="HG1136" s="8"/>
      <c r="HH1136" s="8"/>
      <c r="HI1136" s="8"/>
      <c r="HJ1136" s="8"/>
      <c r="HK1136" s="8"/>
      <c r="HL1136" s="8"/>
      <c r="HM1136" s="8"/>
      <c r="HN1136" s="8"/>
      <c r="HO1136" s="8"/>
      <c r="HP1136" s="8"/>
      <c r="HQ1136" s="8"/>
      <c r="HR1136" s="8"/>
      <c r="HS1136" s="8"/>
      <c r="HT1136" s="8"/>
      <c r="HU1136" s="8"/>
      <c r="HV1136" s="8"/>
      <c r="HW1136" s="8"/>
      <c r="HX1136" s="8"/>
      <c r="HY1136" s="8"/>
      <c r="HZ1136" s="8"/>
      <c r="IA1136" s="8"/>
      <c r="IB1136" s="8"/>
      <c r="IC1136" s="8"/>
      <c r="ID1136" s="8"/>
      <c r="IE1136" s="8"/>
      <c r="IF1136" s="8"/>
    </row>
    <row r="1137" spans="1:240" ht="30" customHeight="1">
      <c r="A1137" s="5">
        <v>1135</v>
      </c>
      <c r="B1137" s="5"/>
      <c r="C1137" s="5"/>
      <c r="D1137" s="5" t="s">
        <v>68</v>
      </c>
      <c r="E1137" s="5" t="s">
        <v>48</v>
      </c>
      <c r="F1137" s="5" t="s">
        <v>48</v>
      </c>
      <c r="G1137" s="5" t="s">
        <v>48</v>
      </c>
      <c r="H1137" s="15">
        <f>10160*0.454</f>
        <v>4612.6400000000003</v>
      </c>
      <c r="I1137" s="5" t="s">
        <v>13</v>
      </c>
      <c r="J1137" s="15">
        <f>(3*179)/4.4</f>
        <v>122.04545454545453</v>
      </c>
      <c r="K1137" s="15">
        <f t="shared" si="33"/>
        <v>5.5560000000000009</v>
      </c>
      <c r="L1137" s="5">
        <v>629.5</v>
      </c>
      <c r="M1137" s="5">
        <f t="shared" si="32"/>
        <v>3.8800000000000026</v>
      </c>
      <c r="N1137" s="5"/>
      <c r="O1137" s="15">
        <f>45200*1.6978</f>
        <v>76740.56</v>
      </c>
      <c r="P1137" s="5"/>
      <c r="Q1137" s="5"/>
      <c r="R1137" s="5">
        <v>2</v>
      </c>
      <c r="S1137" s="5"/>
      <c r="T1137" s="5"/>
      <c r="U1137" s="5"/>
      <c r="V1137" s="5">
        <f>3*0.7457*R1137</f>
        <v>4.4741999999999997</v>
      </c>
      <c r="W1137" s="5"/>
      <c r="X1137" s="5"/>
      <c r="Y1137" s="5" t="s">
        <v>48</v>
      </c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16" t="s">
        <v>48</v>
      </c>
      <c r="AN1137" s="5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8"/>
      <c r="BS1137" s="8"/>
      <c r="BT1137" s="8"/>
      <c r="BU1137" s="8"/>
      <c r="BV1137" s="8"/>
      <c r="BW1137" s="8"/>
      <c r="BX1137" s="8"/>
      <c r="BY1137" s="8"/>
      <c r="BZ1137" s="8"/>
      <c r="CA1137" s="8"/>
      <c r="CB1137" s="8"/>
      <c r="CC1137" s="8"/>
      <c r="CD1137" s="8"/>
      <c r="CE1137" s="8"/>
      <c r="CF1137" s="8"/>
      <c r="CG1137" s="8"/>
      <c r="CH1137" s="8"/>
      <c r="CI1137" s="8"/>
      <c r="CJ1137" s="8"/>
      <c r="CK1137" s="8"/>
      <c r="CL1137" s="8"/>
      <c r="CM1137" s="8"/>
      <c r="CN1137" s="8"/>
      <c r="CO1137" s="8"/>
      <c r="CP1137" s="8"/>
      <c r="CQ1137" s="8"/>
      <c r="CR1137" s="8"/>
      <c r="CS1137" s="8"/>
      <c r="CT1137" s="8"/>
      <c r="CU1137" s="8"/>
      <c r="CV1137" s="8"/>
      <c r="CW1137" s="8"/>
      <c r="CX1137" s="8"/>
      <c r="CY1137" s="8"/>
      <c r="CZ1137" s="8"/>
      <c r="DA1137" s="8"/>
      <c r="DB1137" s="8"/>
      <c r="DC1137" s="8"/>
      <c r="DD1137" s="8"/>
      <c r="DE1137" s="8"/>
      <c r="DF1137" s="8"/>
      <c r="DG1137" s="8"/>
      <c r="DH1137" s="8"/>
      <c r="DI1137" s="8"/>
      <c r="DJ1137" s="8"/>
      <c r="DK1137" s="8"/>
      <c r="DL1137" s="8"/>
      <c r="DM1137" s="8"/>
      <c r="DN1137" s="8"/>
      <c r="DO1137" s="8"/>
      <c r="DP1137" s="8"/>
      <c r="DQ1137" s="8"/>
      <c r="DR1137" s="8"/>
      <c r="DS1137" s="8"/>
      <c r="DT1137" s="8"/>
      <c r="DU1137" s="8"/>
      <c r="DV1137" s="8"/>
      <c r="DW1137" s="8"/>
      <c r="DX1137" s="8"/>
      <c r="DY1137" s="8"/>
      <c r="DZ1137" s="8"/>
      <c r="EA1137" s="8"/>
      <c r="EB1137" s="8"/>
      <c r="EC1137" s="8"/>
      <c r="ED1137" s="8"/>
      <c r="EE1137" s="8"/>
      <c r="EF1137" s="8"/>
      <c r="EG1137" s="8"/>
      <c r="EH1137" s="8"/>
      <c r="EI1137" s="8"/>
      <c r="EJ1137" s="8"/>
      <c r="EK1137" s="8"/>
      <c r="EL1137" s="8"/>
      <c r="EM1137" s="8"/>
      <c r="EN1137" s="8"/>
      <c r="EO1137" s="8"/>
      <c r="EP1137" s="8"/>
      <c r="EQ1137" s="8"/>
      <c r="ER1137" s="8"/>
      <c r="ES1137" s="8"/>
      <c r="ET1137" s="8"/>
      <c r="EU1137" s="8"/>
      <c r="EV1137" s="8"/>
      <c r="EW1137" s="8"/>
      <c r="EX1137" s="8"/>
      <c r="EY1137" s="8"/>
      <c r="EZ1137" s="8"/>
      <c r="FA1137" s="8"/>
      <c r="FB1137" s="8"/>
      <c r="FC1137" s="8"/>
      <c r="FD1137" s="8"/>
      <c r="FE1137" s="8"/>
      <c r="FF1137" s="8"/>
      <c r="FG1137" s="8"/>
      <c r="FH1137" s="8"/>
      <c r="FI1137" s="8"/>
      <c r="FJ1137" s="8"/>
      <c r="FK1137" s="8"/>
      <c r="FL1137" s="8"/>
      <c r="FM1137" s="8"/>
      <c r="FN1137" s="8"/>
      <c r="FO1137" s="8"/>
      <c r="FP1137" s="8"/>
      <c r="FQ1137" s="8"/>
      <c r="FR1137" s="8"/>
      <c r="FS1137" s="8"/>
      <c r="FT1137" s="8"/>
      <c r="FU1137" s="8"/>
      <c r="FV1137" s="8"/>
      <c r="FW1137" s="8"/>
      <c r="FX1137" s="8"/>
      <c r="FY1137" s="8"/>
      <c r="FZ1137" s="8"/>
      <c r="GA1137" s="8"/>
      <c r="GB1137" s="8"/>
      <c r="GC1137" s="8"/>
      <c r="GD1137" s="8"/>
      <c r="GE1137" s="8"/>
      <c r="GF1137" s="8"/>
      <c r="GG1137" s="8"/>
      <c r="GH1137" s="8"/>
      <c r="GI1137" s="8"/>
      <c r="GJ1137" s="8"/>
      <c r="GK1137" s="8"/>
      <c r="GL1137" s="8"/>
      <c r="GM1137" s="8"/>
      <c r="GN1137" s="8"/>
      <c r="GO1137" s="8"/>
      <c r="GP1137" s="8"/>
      <c r="GQ1137" s="8"/>
      <c r="GR1137" s="8"/>
      <c r="GS1137" s="8"/>
      <c r="GT1137" s="8"/>
      <c r="GU1137" s="8"/>
      <c r="GV1137" s="8"/>
      <c r="GW1137" s="8"/>
      <c r="GX1137" s="8"/>
      <c r="GY1137" s="8"/>
      <c r="GZ1137" s="8"/>
      <c r="HA1137" s="8"/>
      <c r="HB1137" s="8"/>
      <c r="HC1137" s="8"/>
      <c r="HD1137" s="8"/>
      <c r="HE1137" s="8"/>
      <c r="HF1137" s="8"/>
      <c r="HG1137" s="8"/>
      <c r="HH1137" s="8"/>
      <c r="HI1137" s="8"/>
      <c r="HJ1137" s="8"/>
      <c r="HK1137" s="8"/>
      <c r="HL1137" s="8"/>
      <c r="HM1137" s="8"/>
      <c r="HN1137" s="8"/>
      <c r="HO1137" s="8"/>
      <c r="HP1137" s="8"/>
      <c r="HQ1137" s="8"/>
      <c r="HR1137" s="8"/>
      <c r="HS1137" s="8"/>
      <c r="HT1137" s="8"/>
      <c r="HU1137" s="8"/>
      <c r="HV1137" s="8"/>
      <c r="HW1137" s="8"/>
      <c r="HX1137" s="8"/>
      <c r="HY1137" s="8"/>
      <c r="HZ1137" s="8"/>
      <c r="IA1137" s="8"/>
      <c r="IB1137" s="8"/>
      <c r="IC1137" s="8"/>
      <c r="ID1137" s="8"/>
      <c r="IE1137" s="8"/>
      <c r="IF1137" s="8"/>
    </row>
    <row r="1138" spans="1:240" ht="30" customHeight="1">
      <c r="A1138" s="5">
        <v>1136</v>
      </c>
      <c r="B1138" s="5"/>
      <c r="C1138" s="5"/>
      <c r="D1138" s="5" t="s">
        <v>68</v>
      </c>
      <c r="E1138" s="5" t="s">
        <v>48</v>
      </c>
      <c r="F1138" s="5" t="s">
        <v>48</v>
      </c>
      <c r="G1138" s="5" t="s">
        <v>48</v>
      </c>
      <c r="H1138" s="15">
        <f>10200*0.454</f>
        <v>4630.8</v>
      </c>
      <c r="I1138" s="5" t="s">
        <v>13</v>
      </c>
      <c r="J1138" s="15">
        <f>(3*225)/4.4</f>
        <v>153.40909090909091</v>
      </c>
      <c r="K1138" s="15">
        <f t="shared" si="33"/>
        <v>5.5560000000000009</v>
      </c>
      <c r="L1138" s="5">
        <v>791.3</v>
      </c>
      <c r="M1138" s="5">
        <f t="shared" si="32"/>
        <v>3.8800000000000026</v>
      </c>
      <c r="N1138" s="5"/>
      <c r="O1138" s="15">
        <f>53100*1.6978</f>
        <v>90153.18</v>
      </c>
      <c r="P1138" s="5"/>
      <c r="Q1138" s="5"/>
      <c r="R1138" s="5">
        <v>2</v>
      </c>
      <c r="S1138" s="5"/>
      <c r="T1138" s="5"/>
      <c r="U1138" s="5"/>
      <c r="V1138" s="5">
        <f>5*0.7457*R1138</f>
        <v>7.4570000000000007</v>
      </c>
      <c r="W1138" s="5"/>
      <c r="X1138" s="5"/>
      <c r="Y1138" s="5" t="s">
        <v>48</v>
      </c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16" t="s">
        <v>48</v>
      </c>
      <c r="AN1138" s="5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8"/>
      <c r="BS1138" s="8"/>
      <c r="BT1138" s="8"/>
      <c r="BU1138" s="8"/>
      <c r="BV1138" s="8"/>
      <c r="BW1138" s="8"/>
      <c r="BX1138" s="8"/>
      <c r="BY1138" s="8"/>
      <c r="BZ1138" s="8"/>
      <c r="CA1138" s="8"/>
      <c r="CB1138" s="8"/>
      <c r="CC1138" s="8"/>
      <c r="CD1138" s="8"/>
      <c r="CE1138" s="8"/>
      <c r="CF1138" s="8"/>
      <c r="CG1138" s="8"/>
      <c r="CH1138" s="8"/>
      <c r="CI1138" s="8"/>
      <c r="CJ1138" s="8"/>
      <c r="CK1138" s="8"/>
      <c r="CL1138" s="8"/>
      <c r="CM1138" s="8"/>
      <c r="CN1138" s="8"/>
      <c r="CO1138" s="8"/>
      <c r="CP1138" s="8"/>
      <c r="CQ1138" s="8"/>
      <c r="CR1138" s="8"/>
      <c r="CS1138" s="8"/>
      <c r="CT1138" s="8"/>
      <c r="CU1138" s="8"/>
      <c r="CV1138" s="8"/>
      <c r="CW1138" s="8"/>
      <c r="CX1138" s="8"/>
      <c r="CY1138" s="8"/>
      <c r="CZ1138" s="8"/>
      <c r="DA1138" s="8"/>
      <c r="DB1138" s="8"/>
      <c r="DC1138" s="8"/>
      <c r="DD1138" s="8"/>
      <c r="DE1138" s="8"/>
      <c r="DF1138" s="8"/>
      <c r="DG1138" s="8"/>
      <c r="DH1138" s="8"/>
      <c r="DI1138" s="8"/>
      <c r="DJ1138" s="8"/>
      <c r="DK1138" s="8"/>
      <c r="DL1138" s="8"/>
      <c r="DM1138" s="8"/>
      <c r="DN1138" s="8"/>
      <c r="DO1138" s="8"/>
      <c r="DP1138" s="8"/>
      <c r="DQ1138" s="8"/>
      <c r="DR1138" s="8"/>
      <c r="DS1138" s="8"/>
      <c r="DT1138" s="8"/>
      <c r="DU1138" s="8"/>
      <c r="DV1138" s="8"/>
      <c r="DW1138" s="8"/>
      <c r="DX1138" s="8"/>
      <c r="DY1138" s="8"/>
      <c r="DZ1138" s="8"/>
      <c r="EA1138" s="8"/>
      <c r="EB1138" s="8"/>
      <c r="EC1138" s="8"/>
      <c r="ED1138" s="8"/>
      <c r="EE1138" s="8"/>
      <c r="EF1138" s="8"/>
      <c r="EG1138" s="8"/>
      <c r="EH1138" s="8"/>
      <c r="EI1138" s="8"/>
      <c r="EJ1138" s="8"/>
      <c r="EK1138" s="8"/>
      <c r="EL1138" s="8"/>
      <c r="EM1138" s="8"/>
      <c r="EN1138" s="8"/>
      <c r="EO1138" s="8"/>
      <c r="EP1138" s="8"/>
      <c r="EQ1138" s="8"/>
      <c r="ER1138" s="8"/>
      <c r="ES1138" s="8"/>
      <c r="ET1138" s="8"/>
      <c r="EU1138" s="8"/>
      <c r="EV1138" s="8"/>
      <c r="EW1138" s="8"/>
      <c r="EX1138" s="8"/>
      <c r="EY1138" s="8"/>
      <c r="EZ1138" s="8"/>
      <c r="FA1138" s="8"/>
      <c r="FB1138" s="8"/>
      <c r="FC1138" s="8"/>
      <c r="FD1138" s="8"/>
      <c r="FE1138" s="8"/>
      <c r="FF1138" s="8"/>
      <c r="FG1138" s="8"/>
      <c r="FH1138" s="8"/>
      <c r="FI1138" s="8"/>
      <c r="FJ1138" s="8"/>
      <c r="FK1138" s="8"/>
      <c r="FL1138" s="8"/>
      <c r="FM1138" s="8"/>
      <c r="FN1138" s="8"/>
      <c r="FO1138" s="8"/>
      <c r="FP1138" s="8"/>
      <c r="FQ1138" s="8"/>
      <c r="FR1138" s="8"/>
      <c r="FS1138" s="8"/>
      <c r="FT1138" s="8"/>
      <c r="FU1138" s="8"/>
      <c r="FV1138" s="8"/>
      <c r="FW1138" s="8"/>
      <c r="FX1138" s="8"/>
      <c r="FY1138" s="8"/>
      <c r="FZ1138" s="8"/>
      <c r="GA1138" s="8"/>
      <c r="GB1138" s="8"/>
      <c r="GC1138" s="8"/>
      <c r="GD1138" s="8"/>
      <c r="GE1138" s="8"/>
      <c r="GF1138" s="8"/>
      <c r="GG1138" s="8"/>
      <c r="GH1138" s="8"/>
      <c r="GI1138" s="8"/>
      <c r="GJ1138" s="8"/>
      <c r="GK1138" s="8"/>
      <c r="GL1138" s="8"/>
      <c r="GM1138" s="8"/>
      <c r="GN1138" s="8"/>
      <c r="GO1138" s="8"/>
      <c r="GP1138" s="8"/>
      <c r="GQ1138" s="8"/>
      <c r="GR1138" s="8"/>
      <c r="GS1138" s="8"/>
      <c r="GT1138" s="8"/>
      <c r="GU1138" s="8"/>
      <c r="GV1138" s="8"/>
      <c r="GW1138" s="8"/>
      <c r="GX1138" s="8"/>
      <c r="GY1138" s="8"/>
      <c r="GZ1138" s="8"/>
      <c r="HA1138" s="8"/>
      <c r="HB1138" s="8"/>
      <c r="HC1138" s="8"/>
      <c r="HD1138" s="8"/>
      <c r="HE1138" s="8"/>
      <c r="HF1138" s="8"/>
      <c r="HG1138" s="8"/>
      <c r="HH1138" s="8"/>
      <c r="HI1138" s="8"/>
      <c r="HJ1138" s="8"/>
      <c r="HK1138" s="8"/>
      <c r="HL1138" s="8"/>
      <c r="HM1138" s="8"/>
      <c r="HN1138" s="8"/>
      <c r="HO1138" s="8"/>
      <c r="HP1138" s="8"/>
      <c r="HQ1138" s="8"/>
      <c r="HR1138" s="8"/>
      <c r="HS1138" s="8"/>
      <c r="HT1138" s="8"/>
      <c r="HU1138" s="8"/>
      <c r="HV1138" s="8"/>
      <c r="HW1138" s="8"/>
      <c r="HX1138" s="8"/>
      <c r="HY1138" s="8"/>
      <c r="HZ1138" s="8"/>
      <c r="IA1138" s="8"/>
      <c r="IB1138" s="8"/>
      <c r="IC1138" s="8"/>
      <c r="ID1138" s="8"/>
      <c r="IE1138" s="8"/>
      <c r="IF1138" s="8"/>
    </row>
    <row r="1139" spans="1:240" ht="30" customHeight="1">
      <c r="A1139" s="5">
        <v>1137</v>
      </c>
      <c r="B1139" s="5"/>
      <c r="C1139" s="5"/>
      <c r="D1139" s="5" t="s">
        <v>68</v>
      </c>
      <c r="E1139" s="5" t="s">
        <v>48</v>
      </c>
      <c r="F1139" s="5" t="s">
        <v>48</v>
      </c>
      <c r="G1139" s="5" t="s">
        <v>48</v>
      </c>
      <c r="H1139" s="15">
        <f>10280*0.454</f>
        <v>4667.12</v>
      </c>
      <c r="I1139" s="5" t="s">
        <v>13</v>
      </c>
      <c r="J1139" s="15">
        <f>(3*247)/4.4</f>
        <v>168.40909090909091</v>
      </c>
      <c r="K1139" s="15">
        <f t="shared" si="33"/>
        <v>5.5560000000000009</v>
      </c>
      <c r="L1139" s="5">
        <v>868.7</v>
      </c>
      <c r="M1139" s="5">
        <f t="shared" si="32"/>
        <v>3.8800000000000026</v>
      </c>
      <c r="N1139" s="5"/>
      <c r="O1139" s="15">
        <f>60500*1.6978</f>
        <v>102716.9</v>
      </c>
      <c r="P1139" s="5"/>
      <c r="Q1139" s="5"/>
      <c r="R1139" s="5">
        <v>2</v>
      </c>
      <c r="S1139" s="5"/>
      <c r="T1139" s="5"/>
      <c r="U1139" s="5"/>
      <c r="V1139" s="5">
        <f>7.5*0.7457*R1139</f>
        <v>11.185500000000001</v>
      </c>
      <c r="W1139" s="5"/>
      <c r="X1139" s="5"/>
      <c r="Y1139" s="5" t="s">
        <v>48</v>
      </c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16" t="s">
        <v>48</v>
      </c>
      <c r="AN1139" s="5"/>
      <c r="AO1139" s="8"/>
      <c r="AP1139" s="8"/>
      <c r="AQ1139" s="8"/>
      <c r="AR1139" s="8"/>
      <c r="AS1139" s="8"/>
      <c r="AT1139" s="8"/>
      <c r="AU1139" s="8"/>
      <c r="AV1139" s="8"/>
      <c r="AW1139" s="8"/>
      <c r="AX1139" s="8"/>
      <c r="AY1139" s="8"/>
      <c r="AZ1139" s="8"/>
      <c r="BA1139" s="8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8"/>
      <c r="BS1139" s="8"/>
      <c r="BT1139" s="8"/>
      <c r="BU1139" s="8"/>
      <c r="BV1139" s="8"/>
      <c r="BW1139" s="8"/>
      <c r="BX1139" s="8"/>
      <c r="BY1139" s="8"/>
      <c r="BZ1139" s="8"/>
      <c r="CA1139" s="8"/>
      <c r="CB1139" s="8"/>
      <c r="CC1139" s="8"/>
      <c r="CD1139" s="8"/>
      <c r="CE1139" s="8"/>
      <c r="CF1139" s="8"/>
      <c r="CG1139" s="8"/>
      <c r="CH1139" s="8"/>
      <c r="CI1139" s="8"/>
      <c r="CJ1139" s="8"/>
      <c r="CK1139" s="8"/>
      <c r="CL1139" s="8"/>
      <c r="CM1139" s="8"/>
      <c r="CN1139" s="8"/>
      <c r="CO1139" s="8"/>
      <c r="CP1139" s="8"/>
      <c r="CQ1139" s="8"/>
      <c r="CR1139" s="8"/>
      <c r="CS1139" s="8"/>
      <c r="CT1139" s="8"/>
      <c r="CU1139" s="8"/>
      <c r="CV1139" s="8"/>
      <c r="CW1139" s="8"/>
      <c r="CX1139" s="8"/>
      <c r="CY1139" s="8"/>
      <c r="CZ1139" s="8"/>
      <c r="DA1139" s="8"/>
      <c r="DB1139" s="8"/>
      <c r="DC1139" s="8"/>
      <c r="DD1139" s="8"/>
      <c r="DE1139" s="8"/>
      <c r="DF1139" s="8"/>
      <c r="DG1139" s="8"/>
      <c r="DH1139" s="8"/>
      <c r="DI1139" s="8"/>
      <c r="DJ1139" s="8"/>
      <c r="DK1139" s="8"/>
      <c r="DL1139" s="8"/>
      <c r="DM1139" s="8"/>
      <c r="DN1139" s="8"/>
      <c r="DO1139" s="8"/>
      <c r="DP1139" s="8"/>
      <c r="DQ1139" s="8"/>
      <c r="DR1139" s="8"/>
      <c r="DS1139" s="8"/>
      <c r="DT1139" s="8"/>
      <c r="DU1139" s="8"/>
      <c r="DV1139" s="8"/>
      <c r="DW1139" s="8"/>
      <c r="DX1139" s="8"/>
      <c r="DY1139" s="8"/>
      <c r="DZ1139" s="8"/>
      <c r="EA1139" s="8"/>
      <c r="EB1139" s="8"/>
      <c r="EC1139" s="8"/>
      <c r="ED1139" s="8"/>
      <c r="EE1139" s="8"/>
      <c r="EF1139" s="8"/>
      <c r="EG1139" s="8"/>
      <c r="EH1139" s="8"/>
      <c r="EI1139" s="8"/>
      <c r="EJ1139" s="8"/>
      <c r="EK1139" s="8"/>
      <c r="EL1139" s="8"/>
      <c r="EM1139" s="8"/>
      <c r="EN1139" s="8"/>
      <c r="EO1139" s="8"/>
      <c r="EP1139" s="8"/>
      <c r="EQ1139" s="8"/>
      <c r="ER1139" s="8"/>
      <c r="ES1139" s="8"/>
      <c r="ET1139" s="8"/>
      <c r="EU1139" s="8"/>
      <c r="EV1139" s="8"/>
      <c r="EW1139" s="8"/>
      <c r="EX1139" s="8"/>
      <c r="EY1139" s="8"/>
      <c r="EZ1139" s="8"/>
      <c r="FA1139" s="8"/>
      <c r="FB1139" s="8"/>
      <c r="FC1139" s="8"/>
      <c r="FD1139" s="8"/>
      <c r="FE1139" s="8"/>
      <c r="FF1139" s="8"/>
      <c r="FG1139" s="8"/>
      <c r="FH1139" s="8"/>
      <c r="FI1139" s="8"/>
      <c r="FJ1139" s="8"/>
      <c r="FK1139" s="8"/>
      <c r="FL1139" s="8"/>
      <c r="FM1139" s="8"/>
      <c r="FN1139" s="8"/>
      <c r="FO1139" s="8"/>
      <c r="FP1139" s="8"/>
      <c r="FQ1139" s="8"/>
      <c r="FR1139" s="8"/>
      <c r="FS1139" s="8"/>
      <c r="FT1139" s="8"/>
      <c r="FU1139" s="8"/>
      <c r="FV1139" s="8"/>
      <c r="FW1139" s="8"/>
      <c r="FX1139" s="8"/>
      <c r="FY1139" s="8"/>
      <c r="FZ1139" s="8"/>
      <c r="GA1139" s="8"/>
      <c r="GB1139" s="8"/>
      <c r="GC1139" s="8"/>
      <c r="GD1139" s="8"/>
      <c r="GE1139" s="8"/>
      <c r="GF1139" s="8"/>
      <c r="GG1139" s="8"/>
      <c r="GH1139" s="8"/>
      <c r="GI1139" s="8"/>
      <c r="GJ1139" s="8"/>
      <c r="GK1139" s="8"/>
      <c r="GL1139" s="8"/>
      <c r="GM1139" s="8"/>
      <c r="GN1139" s="8"/>
      <c r="GO1139" s="8"/>
      <c r="GP1139" s="8"/>
      <c r="GQ1139" s="8"/>
      <c r="GR1139" s="8"/>
      <c r="GS1139" s="8"/>
      <c r="GT1139" s="8"/>
      <c r="GU1139" s="8"/>
      <c r="GV1139" s="8"/>
      <c r="GW1139" s="8"/>
      <c r="GX1139" s="8"/>
      <c r="GY1139" s="8"/>
      <c r="GZ1139" s="8"/>
      <c r="HA1139" s="8"/>
      <c r="HB1139" s="8"/>
      <c r="HC1139" s="8"/>
      <c r="HD1139" s="8"/>
      <c r="HE1139" s="8"/>
      <c r="HF1139" s="8"/>
      <c r="HG1139" s="8"/>
      <c r="HH1139" s="8"/>
      <c r="HI1139" s="8"/>
      <c r="HJ1139" s="8"/>
      <c r="HK1139" s="8"/>
      <c r="HL1139" s="8"/>
      <c r="HM1139" s="8"/>
      <c r="HN1139" s="8"/>
      <c r="HO1139" s="8"/>
      <c r="HP1139" s="8"/>
      <c r="HQ1139" s="8"/>
      <c r="HR1139" s="8"/>
      <c r="HS1139" s="8"/>
      <c r="HT1139" s="8"/>
      <c r="HU1139" s="8"/>
      <c r="HV1139" s="8"/>
      <c r="HW1139" s="8"/>
      <c r="HX1139" s="8"/>
      <c r="HY1139" s="8"/>
      <c r="HZ1139" s="8"/>
      <c r="IA1139" s="8"/>
      <c r="IB1139" s="8"/>
      <c r="IC1139" s="8"/>
      <c r="ID1139" s="8"/>
      <c r="IE1139" s="8"/>
      <c r="IF1139" s="8"/>
    </row>
    <row r="1140" spans="1:240" ht="30" customHeight="1">
      <c r="A1140" s="5">
        <v>1138</v>
      </c>
      <c r="B1140" s="5"/>
      <c r="C1140" s="5"/>
      <c r="D1140" s="5" t="s">
        <v>68</v>
      </c>
      <c r="E1140" s="5" t="s">
        <v>48</v>
      </c>
      <c r="F1140" s="5" t="s">
        <v>48</v>
      </c>
      <c r="G1140" s="5" t="s">
        <v>48</v>
      </c>
      <c r="H1140" s="15">
        <f>10600*0.454</f>
        <v>4812.4000000000005</v>
      </c>
      <c r="I1140" s="5" t="s">
        <v>13</v>
      </c>
      <c r="J1140" s="15">
        <f>(3*250)/4.4</f>
        <v>170.45454545454544</v>
      </c>
      <c r="K1140" s="15">
        <f t="shared" si="33"/>
        <v>5.5560000000000009</v>
      </c>
      <c r="L1140" s="5">
        <v>879.2</v>
      </c>
      <c r="M1140" s="5">
        <f t="shared" si="32"/>
        <v>3.8800000000000026</v>
      </c>
      <c r="N1140" s="5"/>
      <c r="O1140" s="15">
        <f>52300*1.6978</f>
        <v>88794.94</v>
      </c>
      <c r="P1140" s="5"/>
      <c r="Q1140" s="5"/>
      <c r="R1140" s="5">
        <v>2</v>
      </c>
      <c r="S1140" s="5"/>
      <c r="T1140" s="5"/>
      <c r="U1140" s="5"/>
      <c r="V1140" s="5">
        <f>5*0.7457*R1140</f>
        <v>7.4570000000000007</v>
      </c>
      <c r="W1140" s="5"/>
      <c r="X1140" s="5"/>
      <c r="Y1140" s="5" t="s">
        <v>48</v>
      </c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16" t="s">
        <v>48</v>
      </c>
      <c r="AN1140" s="5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8"/>
      <c r="BS1140" s="8"/>
      <c r="BT1140" s="8"/>
      <c r="BU1140" s="8"/>
      <c r="BV1140" s="8"/>
      <c r="BW1140" s="8"/>
      <c r="BX1140" s="8"/>
      <c r="BY1140" s="8"/>
      <c r="BZ1140" s="8"/>
      <c r="CA1140" s="8"/>
      <c r="CB1140" s="8"/>
      <c r="CC1140" s="8"/>
      <c r="CD1140" s="8"/>
      <c r="CE1140" s="8"/>
      <c r="CF1140" s="8"/>
      <c r="CG1140" s="8"/>
      <c r="CH1140" s="8"/>
      <c r="CI1140" s="8"/>
      <c r="CJ1140" s="8"/>
      <c r="CK1140" s="8"/>
      <c r="CL1140" s="8"/>
      <c r="CM1140" s="8"/>
      <c r="CN1140" s="8"/>
      <c r="CO1140" s="8"/>
      <c r="CP1140" s="8"/>
      <c r="CQ1140" s="8"/>
      <c r="CR1140" s="8"/>
      <c r="CS1140" s="8"/>
      <c r="CT1140" s="8"/>
      <c r="CU1140" s="8"/>
      <c r="CV1140" s="8"/>
      <c r="CW1140" s="8"/>
      <c r="CX1140" s="8"/>
      <c r="CY1140" s="8"/>
      <c r="CZ1140" s="8"/>
      <c r="DA1140" s="8"/>
      <c r="DB1140" s="8"/>
      <c r="DC1140" s="8"/>
      <c r="DD1140" s="8"/>
      <c r="DE1140" s="8"/>
      <c r="DF1140" s="8"/>
      <c r="DG1140" s="8"/>
      <c r="DH1140" s="8"/>
      <c r="DI1140" s="8"/>
      <c r="DJ1140" s="8"/>
      <c r="DK1140" s="8"/>
      <c r="DL1140" s="8"/>
      <c r="DM1140" s="8"/>
      <c r="DN1140" s="8"/>
      <c r="DO1140" s="8"/>
      <c r="DP1140" s="8"/>
      <c r="DQ1140" s="8"/>
      <c r="DR1140" s="8"/>
      <c r="DS1140" s="8"/>
      <c r="DT1140" s="8"/>
      <c r="DU1140" s="8"/>
      <c r="DV1140" s="8"/>
      <c r="DW1140" s="8"/>
      <c r="DX1140" s="8"/>
      <c r="DY1140" s="8"/>
      <c r="DZ1140" s="8"/>
      <c r="EA1140" s="8"/>
      <c r="EB1140" s="8"/>
      <c r="EC1140" s="8"/>
      <c r="ED1140" s="8"/>
      <c r="EE1140" s="8"/>
      <c r="EF1140" s="8"/>
      <c r="EG1140" s="8"/>
      <c r="EH1140" s="8"/>
      <c r="EI1140" s="8"/>
      <c r="EJ1140" s="8"/>
      <c r="EK1140" s="8"/>
      <c r="EL1140" s="8"/>
      <c r="EM1140" s="8"/>
      <c r="EN1140" s="8"/>
      <c r="EO1140" s="8"/>
      <c r="EP1140" s="8"/>
      <c r="EQ1140" s="8"/>
      <c r="ER1140" s="8"/>
      <c r="ES1140" s="8"/>
      <c r="ET1140" s="8"/>
      <c r="EU1140" s="8"/>
      <c r="EV1140" s="8"/>
      <c r="EW1140" s="8"/>
      <c r="EX1140" s="8"/>
      <c r="EY1140" s="8"/>
      <c r="EZ1140" s="8"/>
      <c r="FA1140" s="8"/>
      <c r="FB1140" s="8"/>
      <c r="FC1140" s="8"/>
      <c r="FD1140" s="8"/>
      <c r="FE1140" s="8"/>
      <c r="FF1140" s="8"/>
      <c r="FG1140" s="8"/>
      <c r="FH1140" s="8"/>
      <c r="FI1140" s="8"/>
      <c r="FJ1140" s="8"/>
      <c r="FK1140" s="8"/>
      <c r="FL1140" s="8"/>
      <c r="FM1140" s="8"/>
      <c r="FN1140" s="8"/>
      <c r="FO1140" s="8"/>
      <c r="FP1140" s="8"/>
      <c r="FQ1140" s="8"/>
      <c r="FR1140" s="8"/>
      <c r="FS1140" s="8"/>
      <c r="FT1140" s="8"/>
      <c r="FU1140" s="8"/>
      <c r="FV1140" s="8"/>
      <c r="FW1140" s="8"/>
      <c r="FX1140" s="8"/>
      <c r="FY1140" s="8"/>
      <c r="FZ1140" s="8"/>
      <c r="GA1140" s="8"/>
      <c r="GB1140" s="8"/>
      <c r="GC1140" s="8"/>
      <c r="GD1140" s="8"/>
      <c r="GE1140" s="8"/>
      <c r="GF1140" s="8"/>
      <c r="GG1140" s="8"/>
      <c r="GH1140" s="8"/>
      <c r="GI1140" s="8"/>
      <c r="GJ1140" s="8"/>
      <c r="GK1140" s="8"/>
      <c r="GL1140" s="8"/>
      <c r="GM1140" s="8"/>
      <c r="GN1140" s="8"/>
      <c r="GO1140" s="8"/>
      <c r="GP1140" s="8"/>
      <c r="GQ1140" s="8"/>
      <c r="GR1140" s="8"/>
      <c r="GS1140" s="8"/>
      <c r="GT1140" s="8"/>
      <c r="GU1140" s="8"/>
      <c r="GV1140" s="8"/>
      <c r="GW1140" s="8"/>
      <c r="GX1140" s="8"/>
      <c r="GY1140" s="8"/>
      <c r="GZ1140" s="8"/>
      <c r="HA1140" s="8"/>
      <c r="HB1140" s="8"/>
      <c r="HC1140" s="8"/>
      <c r="HD1140" s="8"/>
      <c r="HE1140" s="8"/>
      <c r="HF1140" s="8"/>
      <c r="HG1140" s="8"/>
      <c r="HH1140" s="8"/>
      <c r="HI1140" s="8"/>
      <c r="HJ1140" s="8"/>
      <c r="HK1140" s="8"/>
      <c r="HL1140" s="8"/>
      <c r="HM1140" s="8"/>
      <c r="HN1140" s="8"/>
      <c r="HO1140" s="8"/>
      <c r="HP1140" s="8"/>
      <c r="HQ1140" s="8"/>
      <c r="HR1140" s="8"/>
      <c r="HS1140" s="8"/>
      <c r="HT1140" s="8"/>
      <c r="HU1140" s="8"/>
      <c r="HV1140" s="8"/>
      <c r="HW1140" s="8"/>
      <c r="HX1140" s="8"/>
      <c r="HY1140" s="8"/>
      <c r="HZ1140" s="8"/>
      <c r="IA1140" s="8"/>
      <c r="IB1140" s="8"/>
      <c r="IC1140" s="8"/>
      <c r="ID1140" s="8"/>
      <c r="IE1140" s="8"/>
      <c r="IF1140" s="8"/>
    </row>
    <row r="1141" spans="1:240" ht="30" customHeight="1">
      <c r="A1141" s="5">
        <v>1139</v>
      </c>
      <c r="B1141" s="5"/>
      <c r="C1141" s="5"/>
      <c r="D1141" s="5" t="s">
        <v>68</v>
      </c>
      <c r="E1141" s="5" t="s">
        <v>48</v>
      </c>
      <c r="F1141" s="5" t="s">
        <v>48</v>
      </c>
      <c r="G1141" s="5" t="s">
        <v>48</v>
      </c>
      <c r="H1141" s="15">
        <f>10680*0.454</f>
        <v>4848.72</v>
      </c>
      <c r="I1141" s="5" t="s">
        <v>13</v>
      </c>
      <c r="J1141" s="15">
        <f>(3*277)/4.4</f>
        <v>188.86363636363635</v>
      </c>
      <c r="K1141" s="15">
        <f t="shared" si="33"/>
        <v>5.5560000000000009</v>
      </c>
      <c r="L1141" s="5">
        <v>974.2</v>
      </c>
      <c r="M1141" s="5">
        <f t="shared" si="32"/>
        <v>3.8800000000000026</v>
      </c>
      <c r="N1141" s="5"/>
      <c r="O1141" s="15">
        <f>59400*1.6978</f>
        <v>100849.31999999999</v>
      </c>
      <c r="P1141" s="5"/>
      <c r="Q1141" s="5"/>
      <c r="R1141" s="5">
        <v>2</v>
      </c>
      <c r="S1141" s="5"/>
      <c r="T1141" s="5"/>
      <c r="U1141" s="5"/>
      <c r="V1141" s="5">
        <f>7.5*0.7457*R1141</f>
        <v>11.185500000000001</v>
      </c>
      <c r="W1141" s="5"/>
      <c r="X1141" s="5"/>
      <c r="Y1141" s="5" t="s">
        <v>48</v>
      </c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16" t="s">
        <v>48</v>
      </c>
      <c r="AN1141" s="5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8"/>
      <c r="BS1141" s="8"/>
      <c r="BT1141" s="8"/>
      <c r="BU1141" s="8"/>
      <c r="BV1141" s="8"/>
      <c r="BW1141" s="8"/>
      <c r="BX1141" s="8"/>
      <c r="BY1141" s="8"/>
      <c r="BZ1141" s="8"/>
      <c r="CA1141" s="8"/>
      <c r="CB1141" s="8"/>
      <c r="CC1141" s="8"/>
      <c r="CD1141" s="8"/>
      <c r="CE1141" s="8"/>
      <c r="CF1141" s="8"/>
      <c r="CG1141" s="8"/>
      <c r="CH1141" s="8"/>
      <c r="CI1141" s="8"/>
      <c r="CJ1141" s="8"/>
      <c r="CK1141" s="8"/>
      <c r="CL1141" s="8"/>
      <c r="CM1141" s="8"/>
      <c r="CN1141" s="8"/>
      <c r="CO1141" s="8"/>
      <c r="CP1141" s="8"/>
      <c r="CQ1141" s="8"/>
      <c r="CR1141" s="8"/>
      <c r="CS1141" s="8"/>
      <c r="CT1141" s="8"/>
      <c r="CU1141" s="8"/>
      <c r="CV1141" s="8"/>
      <c r="CW1141" s="8"/>
      <c r="CX1141" s="8"/>
      <c r="CY1141" s="8"/>
      <c r="CZ1141" s="8"/>
      <c r="DA1141" s="8"/>
      <c r="DB1141" s="8"/>
      <c r="DC1141" s="8"/>
      <c r="DD1141" s="8"/>
      <c r="DE1141" s="8"/>
      <c r="DF1141" s="8"/>
      <c r="DG1141" s="8"/>
      <c r="DH1141" s="8"/>
      <c r="DI1141" s="8"/>
      <c r="DJ1141" s="8"/>
      <c r="DK1141" s="8"/>
      <c r="DL1141" s="8"/>
      <c r="DM1141" s="8"/>
      <c r="DN1141" s="8"/>
      <c r="DO1141" s="8"/>
      <c r="DP1141" s="8"/>
      <c r="DQ1141" s="8"/>
      <c r="DR1141" s="8"/>
      <c r="DS1141" s="8"/>
      <c r="DT1141" s="8"/>
      <c r="DU1141" s="8"/>
      <c r="DV1141" s="8"/>
      <c r="DW1141" s="8"/>
      <c r="DX1141" s="8"/>
      <c r="DY1141" s="8"/>
      <c r="DZ1141" s="8"/>
      <c r="EA1141" s="8"/>
      <c r="EB1141" s="8"/>
      <c r="EC1141" s="8"/>
      <c r="ED1141" s="8"/>
      <c r="EE1141" s="8"/>
      <c r="EF1141" s="8"/>
      <c r="EG1141" s="8"/>
      <c r="EH1141" s="8"/>
      <c r="EI1141" s="8"/>
      <c r="EJ1141" s="8"/>
      <c r="EK1141" s="8"/>
      <c r="EL1141" s="8"/>
      <c r="EM1141" s="8"/>
      <c r="EN1141" s="8"/>
      <c r="EO1141" s="8"/>
      <c r="EP1141" s="8"/>
      <c r="EQ1141" s="8"/>
      <c r="ER1141" s="8"/>
      <c r="ES1141" s="8"/>
      <c r="ET1141" s="8"/>
      <c r="EU1141" s="8"/>
      <c r="EV1141" s="8"/>
      <c r="EW1141" s="8"/>
      <c r="EX1141" s="8"/>
      <c r="EY1141" s="8"/>
      <c r="EZ1141" s="8"/>
      <c r="FA1141" s="8"/>
      <c r="FB1141" s="8"/>
      <c r="FC1141" s="8"/>
      <c r="FD1141" s="8"/>
      <c r="FE1141" s="8"/>
      <c r="FF1141" s="8"/>
      <c r="FG1141" s="8"/>
      <c r="FH1141" s="8"/>
      <c r="FI1141" s="8"/>
      <c r="FJ1141" s="8"/>
      <c r="FK1141" s="8"/>
      <c r="FL1141" s="8"/>
      <c r="FM1141" s="8"/>
      <c r="FN1141" s="8"/>
      <c r="FO1141" s="8"/>
      <c r="FP1141" s="8"/>
      <c r="FQ1141" s="8"/>
      <c r="FR1141" s="8"/>
      <c r="FS1141" s="8"/>
      <c r="FT1141" s="8"/>
      <c r="FU1141" s="8"/>
      <c r="FV1141" s="8"/>
      <c r="FW1141" s="8"/>
      <c r="FX1141" s="8"/>
      <c r="FY1141" s="8"/>
      <c r="FZ1141" s="8"/>
      <c r="GA1141" s="8"/>
      <c r="GB1141" s="8"/>
      <c r="GC1141" s="8"/>
      <c r="GD1141" s="8"/>
      <c r="GE1141" s="8"/>
      <c r="GF1141" s="8"/>
      <c r="GG1141" s="8"/>
      <c r="GH1141" s="8"/>
      <c r="GI1141" s="8"/>
      <c r="GJ1141" s="8"/>
      <c r="GK1141" s="8"/>
      <c r="GL1141" s="8"/>
      <c r="GM1141" s="8"/>
      <c r="GN1141" s="8"/>
      <c r="GO1141" s="8"/>
      <c r="GP1141" s="8"/>
      <c r="GQ1141" s="8"/>
      <c r="GR1141" s="8"/>
      <c r="GS1141" s="8"/>
      <c r="GT1141" s="8"/>
      <c r="GU1141" s="8"/>
      <c r="GV1141" s="8"/>
      <c r="GW1141" s="8"/>
      <c r="GX1141" s="8"/>
      <c r="GY1141" s="8"/>
      <c r="GZ1141" s="8"/>
      <c r="HA1141" s="8"/>
      <c r="HB1141" s="8"/>
      <c r="HC1141" s="8"/>
      <c r="HD1141" s="8"/>
      <c r="HE1141" s="8"/>
      <c r="HF1141" s="8"/>
      <c r="HG1141" s="8"/>
      <c r="HH1141" s="8"/>
      <c r="HI1141" s="8"/>
      <c r="HJ1141" s="8"/>
      <c r="HK1141" s="8"/>
      <c r="HL1141" s="8"/>
      <c r="HM1141" s="8"/>
      <c r="HN1141" s="8"/>
      <c r="HO1141" s="8"/>
      <c r="HP1141" s="8"/>
      <c r="HQ1141" s="8"/>
      <c r="HR1141" s="8"/>
      <c r="HS1141" s="8"/>
      <c r="HT1141" s="8"/>
      <c r="HU1141" s="8"/>
      <c r="HV1141" s="8"/>
      <c r="HW1141" s="8"/>
      <c r="HX1141" s="8"/>
      <c r="HY1141" s="8"/>
      <c r="HZ1141" s="8"/>
      <c r="IA1141" s="8"/>
      <c r="IB1141" s="8"/>
      <c r="IC1141" s="8"/>
      <c r="ID1141" s="8"/>
      <c r="IE1141" s="8"/>
      <c r="IF1141" s="8"/>
    </row>
    <row r="1142" spans="1:240" ht="30" customHeight="1">
      <c r="A1142" s="5">
        <v>1140</v>
      </c>
      <c r="B1142" s="5"/>
      <c r="C1142" s="5"/>
      <c r="D1142" s="5" t="s">
        <v>68</v>
      </c>
      <c r="E1142" s="5" t="s">
        <v>48</v>
      </c>
      <c r="F1142" s="5" t="s">
        <v>48</v>
      </c>
      <c r="G1142" s="5" t="s">
        <v>48</v>
      </c>
      <c r="H1142" s="15">
        <f>10740*0.454</f>
        <v>4875.96</v>
      </c>
      <c r="I1142" s="5" t="s">
        <v>13</v>
      </c>
      <c r="J1142" s="15">
        <f>(3*302)/4.4</f>
        <v>205.90909090909091</v>
      </c>
      <c r="K1142" s="15">
        <f t="shared" si="33"/>
        <v>5.5560000000000009</v>
      </c>
      <c r="L1142" s="5">
        <v>1062.0999999999999</v>
      </c>
      <c r="M1142" s="5">
        <f t="shared" si="32"/>
        <v>3.8800000000000026</v>
      </c>
      <c r="N1142" s="5"/>
      <c r="O1142" s="15">
        <f>65100*1.6978</f>
        <v>110526.78</v>
      </c>
      <c r="P1142" s="5"/>
      <c r="Q1142" s="5"/>
      <c r="R1142" s="5">
        <v>2</v>
      </c>
      <c r="S1142" s="5"/>
      <c r="T1142" s="5"/>
      <c r="U1142" s="5"/>
      <c r="V1142" s="5">
        <f>10*0.7457*R1142</f>
        <v>14.914000000000001</v>
      </c>
      <c r="W1142" s="5"/>
      <c r="X1142" s="5"/>
      <c r="Y1142" s="5" t="s">
        <v>48</v>
      </c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16" t="s">
        <v>48</v>
      </c>
      <c r="AN1142" s="5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8"/>
      <c r="BS1142" s="8"/>
      <c r="BT1142" s="8"/>
      <c r="BU1142" s="8"/>
      <c r="BV1142" s="8"/>
      <c r="BW1142" s="8"/>
      <c r="BX1142" s="8"/>
      <c r="BY1142" s="8"/>
      <c r="BZ1142" s="8"/>
      <c r="CA1142" s="8"/>
      <c r="CB1142" s="8"/>
      <c r="CC1142" s="8"/>
      <c r="CD1142" s="8"/>
      <c r="CE1142" s="8"/>
      <c r="CF1142" s="8"/>
      <c r="CG1142" s="8"/>
      <c r="CH1142" s="8"/>
      <c r="CI1142" s="8"/>
      <c r="CJ1142" s="8"/>
      <c r="CK1142" s="8"/>
      <c r="CL1142" s="8"/>
      <c r="CM1142" s="8"/>
      <c r="CN1142" s="8"/>
      <c r="CO1142" s="8"/>
      <c r="CP1142" s="8"/>
      <c r="CQ1142" s="8"/>
      <c r="CR1142" s="8"/>
      <c r="CS1142" s="8"/>
      <c r="CT1142" s="8"/>
      <c r="CU1142" s="8"/>
      <c r="CV1142" s="8"/>
      <c r="CW1142" s="8"/>
      <c r="CX1142" s="8"/>
      <c r="CY1142" s="8"/>
      <c r="CZ1142" s="8"/>
      <c r="DA1142" s="8"/>
      <c r="DB1142" s="8"/>
      <c r="DC1142" s="8"/>
      <c r="DD1142" s="8"/>
      <c r="DE1142" s="8"/>
      <c r="DF1142" s="8"/>
      <c r="DG1142" s="8"/>
      <c r="DH1142" s="8"/>
      <c r="DI1142" s="8"/>
      <c r="DJ1142" s="8"/>
      <c r="DK1142" s="8"/>
      <c r="DL1142" s="8"/>
      <c r="DM1142" s="8"/>
      <c r="DN1142" s="8"/>
      <c r="DO1142" s="8"/>
      <c r="DP1142" s="8"/>
      <c r="DQ1142" s="8"/>
      <c r="DR1142" s="8"/>
      <c r="DS1142" s="8"/>
      <c r="DT1142" s="8"/>
      <c r="DU1142" s="8"/>
      <c r="DV1142" s="8"/>
      <c r="DW1142" s="8"/>
      <c r="DX1142" s="8"/>
      <c r="DY1142" s="8"/>
      <c r="DZ1142" s="8"/>
      <c r="EA1142" s="8"/>
      <c r="EB1142" s="8"/>
      <c r="EC1142" s="8"/>
      <c r="ED1142" s="8"/>
      <c r="EE1142" s="8"/>
      <c r="EF1142" s="8"/>
      <c r="EG1142" s="8"/>
      <c r="EH1142" s="8"/>
      <c r="EI1142" s="8"/>
      <c r="EJ1142" s="8"/>
      <c r="EK1142" s="8"/>
      <c r="EL1142" s="8"/>
      <c r="EM1142" s="8"/>
      <c r="EN1142" s="8"/>
      <c r="EO1142" s="8"/>
      <c r="EP1142" s="8"/>
      <c r="EQ1142" s="8"/>
      <c r="ER1142" s="8"/>
      <c r="ES1142" s="8"/>
      <c r="ET1142" s="8"/>
      <c r="EU1142" s="8"/>
      <c r="EV1142" s="8"/>
      <c r="EW1142" s="8"/>
      <c r="EX1142" s="8"/>
      <c r="EY1142" s="8"/>
      <c r="EZ1142" s="8"/>
      <c r="FA1142" s="8"/>
      <c r="FB1142" s="8"/>
      <c r="FC1142" s="8"/>
      <c r="FD1142" s="8"/>
      <c r="FE1142" s="8"/>
      <c r="FF1142" s="8"/>
      <c r="FG1142" s="8"/>
      <c r="FH1142" s="8"/>
      <c r="FI1142" s="8"/>
      <c r="FJ1142" s="8"/>
      <c r="FK1142" s="8"/>
      <c r="FL1142" s="8"/>
      <c r="FM1142" s="8"/>
      <c r="FN1142" s="8"/>
      <c r="FO1142" s="8"/>
      <c r="FP1142" s="8"/>
      <c r="FQ1142" s="8"/>
      <c r="FR1142" s="8"/>
      <c r="FS1142" s="8"/>
      <c r="FT1142" s="8"/>
      <c r="FU1142" s="8"/>
      <c r="FV1142" s="8"/>
      <c r="FW1142" s="8"/>
      <c r="FX1142" s="8"/>
      <c r="FY1142" s="8"/>
      <c r="FZ1142" s="8"/>
      <c r="GA1142" s="8"/>
      <c r="GB1142" s="8"/>
      <c r="GC1142" s="8"/>
      <c r="GD1142" s="8"/>
      <c r="GE1142" s="8"/>
      <c r="GF1142" s="8"/>
      <c r="GG1142" s="8"/>
      <c r="GH1142" s="8"/>
      <c r="GI1142" s="8"/>
      <c r="GJ1142" s="8"/>
      <c r="GK1142" s="8"/>
      <c r="GL1142" s="8"/>
      <c r="GM1142" s="8"/>
      <c r="GN1142" s="8"/>
      <c r="GO1142" s="8"/>
      <c r="GP1142" s="8"/>
      <c r="GQ1142" s="8"/>
      <c r="GR1142" s="8"/>
      <c r="GS1142" s="8"/>
      <c r="GT1142" s="8"/>
      <c r="GU1142" s="8"/>
      <c r="GV1142" s="8"/>
      <c r="GW1142" s="8"/>
      <c r="GX1142" s="8"/>
      <c r="GY1142" s="8"/>
      <c r="GZ1142" s="8"/>
      <c r="HA1142" s="8"/>
      <c r="HB1142" s="8"/>
      <c r="HC1142" s="8"/>
      <c r="HD1142" s="8"/>
      <c r="HE1142" s="8"/>
      <c r="HF1142" s="8"/>
      <c r="HG1142" s="8"/>
      <c r="HH1142" s="8"/>
      <c r="HI1142" s="8"/>
      <c r="HJ1142" s="8"/>
      <c r="HK1142" s="8"/>
      <c r="HL1142" s="8"/>
      <c r="HM1142" s="8"/>
      <c r="HN1142" s="8"/>
      <c r="HO1142" s="8"/>
      <c r="HP1142" s="8"/>
      <c r="HQ1142" s="8"/>
      <c r="HR1142" s="8"/>
      <c r="HS1142" s="8"/>
      <c r="HT1142" s="8"/>
      <c r="HU1142" s="8"/>
      <c r="HV1142" s="8"/>
      <c r="HW1142" s="8"/>
      <c r="HX1142" s="8"/>
      <c r="HY1142" s="8"/>
      <c r="HZ1142" s="8"/>
      <c r="IA1142" s="8"/>
      <c r="IB1142" s="8"/>
      <c r="IC1142" s="8"/>
      <c r="ID1142" s="8"/>
      <c r="IE1142" s="8"/>
      <c r="IF1142" s="8"/>
    </row>
    <row r="1143" spans="1:240" ht="30" customHeight="1">
      <c r="A1143" s="5">
        <v>1141</v>
      </c>
      <c r="B1143" s="5"/>
      <c r="C1143" s="5"/>
      <c r="D1143" s="5" t="s">
        <v>68</v>
      </c>
      <c r="E1143" s="5" t="s">
        <v>48</v>
      </c>
      <c r="F1143" s="5" t="s">
        <v>48</v>
      </c>
      <c r="G1143" s="5" t="s">
        <v>48</v>
      </c>
      <c r="H1143" s="15">
        <f>11180*0.454</f>
        <v>5075.72</v>
      </c>
      <c r="I1143" s="5" t="s">
        <v>13</v>
      </c>
      <c r="J1143" s="15">
        <f>(3*315)/4.4</f>
        <v>214.77272727272725</v>
      </c>
      <c r="K1143" s="15">
        <f t="shared" si="33"/>
        <v>5.5560000000000009</v>
      </c>
      <c r="L1143" s="5">
        <v>1107.8</v>
      </c>
      <c r="M1143" s="5">
        <f t="shared" si="32"/>
        <v>3.8800000000000026</v>
      </c>
      <c r="N1143" s="5"/>
      <c r="O1143" s="15">
        <f>64000*1.6978</f>
        <v>108659.2</v>
      </c>
      <c r="P1143" s="5"/>
      <c r="Q1143" s="5"/>
      <c r="R1143" s="5">
        <v>2</v>
      </c>
      <c r="S1143" s="5"/>
      <c r="T1143" s="5"/>
      <c r="U1143" s="5"/>
      <c r="V1143" s="5">
        <f>10*0.7457*R1143</f>
        <v>14.914000000000001</v>
      </c>
      <c r="W1143" s="5"/>
      <c r="X1143" s="5"/>
      <c r="Y1143" s="5" t="s">
        <v>48</v>
      </c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16" t="s">
        <v>48</v>
      </c>
      <c r="AN1143" s="5"/>
      <c r="AO1143" s="8"/>
      <c r="AP1143" s="8"/>
      <c r="AQ1143" s="8"/>
      <c r="AR1143" s="8"/>
      <c r="AS1143" s="8"/>
      <c r="AT1143" s="8"/>
      <c r="AU1143" s="8"/>
      <c r="AV1143" s="8"/>
      <c r="AW1143" s="8"/>
      <c r="AX1143" s="8"/>
      <c r="AY1143" s="8"/>
      <c r="AZ1143" s="8"/>
      <c r="BA1143" s="8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8"/>
      <c r="BS1143" s="8"/>
      <c r="BT1143" s="8"/>
      <c r="BU1143" s="8"/>
      <c r="BV1143" s="8"/>
      <c r="BW1143" s="8"/>
      <c r="BX1143" s="8"/>
      <c r="BY1143" s="8"/>
      <c r="BZ1143" s="8"/>
      <c r="CA1143" s="8"/>
      <c r="CB1143" s="8"/>
      <c r="CC1143" s="8"/>
      <c r="CD1143" s="8"/>
      <c r="CE1143" s="8"/>
      <c r="CF1143" s="8"/>
      <c r="CG1143" s="8"/>
      <c r="CH1143" s="8"/>
      <c r="CI1143" s="8"/>
      <c r="CJ1143" s="8"/>
      <c r="CK1143" s="8"/>
      <c r="CL1143" s="8"/>
      <c r="CM1143" s="8"/>
      <c r="CN1143" s="8"/>
      <c r="CO1143" s="8"/>
      <c r="CP1143" s="8"/>
      <c r="CQ1143" s="8"/>
      <c r="CR1143" s="8"/>
      <c r="CS1143" s="8"/>
      <c r="CT1143" s="8"/>
      <c r="CU1143" s="8"/>
      <c r="CV1143" s="8"/>
      <c r="CW1143" s="8"/>
      <c r="CX1143" s="8"/>
      <c r="CY1143" s="8"/>
      <c r="CZ1143" s="8"/>
      <c r="DA1143" s="8"/>
      <c r="DB1143" s="8"/>
      <c r="DC1143" s="8"/>
      <c r="DD1143" s="8"/>
      <c r="DE1143" s="8"/>
      <c r="DF1143" s="8"/>
      <c r="DG1143" s="8"/>
      <c r="DH1143" s="8"/>
      <c r="DI1143" s="8"/>
      <c r="DJ1143" s="8"/>
      <c r="DK1143" s="8"/>
      <c r="DL1143" s="8"/>
      <c r="DM1143" s="8"/>
      <c r="DN1143" s="8"/>
      <c r="DO1143" s="8"/>
      <c r="DP1143" s="8"/>
      <c r="DQ1143" s="8"/>
      <c r="DR1143" s="8"/>
      <c r="DS1143" s="8"/>
      <c r="DT1143" s="8"/>
      <c r="DU1143" s="8"/>
      <c r="DV1143" s="8"/>
      <c r="DW1143" s="8"/>
      <c r="DX1143" s="8"/>
      <c r="DY1143" s="8"/>
      <c r="DZ1143" s="8"/>
      <c r="EA1143" s="8"/>
      <c r="EB1143" s="8"/>
      <c r="EC1143" s="8"/>
      <c r="ED1143" s="8"/>
      <c r="EE1143" s="8"/>
      <c r="EF1143" s="8"/>
      <c r="EG1143" s="8"/>
      <c r="EH1143" s="8"/>
      <c r="EI1143" s="8"/>
      <c r="EJ1143" s="8"/>
      <c r="EK1143" s="8"/>
      <c r="EL1143" s="8"/>
      <c r="EM1143" s="8"/>
      <c r="EN1143" s="8"/>
      <c r="EO1143" s="8"/>
      <c r="EP1143" s="8"/>
      <c r="EQ1143" s="8"/>
      <c r="ER1143" s="8"/>
      <c r="ES1143" s="8"/>
      <c r="ET1143" s="8"/>
      <c r="EU1143" s="8"/>
      <c r="EV1143" s="8"/>
      <c r="EW1143" s="8"/>
      <c r="EX1143" s="8"/>
      <c r="EY1143" s="8"/>
      <c r="EZ1143" s="8"/>
      <c r="FA1143" s="8"/>
      <c r="FB1143" s="8"/>
      <c r="FC1143" s="8"/>
      <c r="FD1143" s="8"/>
      <c r="FE1143" s="8"/>
      <c r="FF1143" s="8"/>
      <c r="FG1143" s="8"/>
      <c r="FH1143" s="8"/>
      <c r="FI1143" s="8"/>
      <c r="FJ1143" s="8"/>
      <c r="FK1143" s="8"/>
      <c r="FL1143" s="8"/>
      <c r="FM1143" s="8"/>
      <c r="FN1143" s="8"/>
      <c r="FO1143" s="8"/>
      <c r="FP1143" s="8"/>
      <c r="FQ1143" s="8"/>
      <c r="FR1143" s="8"/>
      <c r="FS1143" s="8"/>
      <c r="FT1143" s="8"/>
      <c r="FU1143" s="8"/>
      <c r="FV1143" s="8"/>
      <c r="FW1143" s="8"/>
      <c r="FX1143" s="8"/>
      <c r="FY1143" s="8"/>
      <c r="FZ1143" s="8"/>
      <c r="GA1143" s="8"/>
      <c r="GB1143" s="8"/>
      <c r="GC1143" s="8"/>
      <c r="GD1143" s="8"/>
      <c r="GE1143" s="8"/>
      <c r="GF1143" s="8"/>
      <c r="GG1143" s="8"/>
      <c r="GH1143" s="8"/>
      <c r="GI1143" s="8"/>
      <c r="GJ1143" s="8"/>
      <c r="GK1143" s="8"/>
      <c r="GL1143" s="8"/>
      <c r="GM1143" s="8"/>
      <c r="GN1143" s="8"/>
      <c r="GO1143" s="8"/>
      <c r="GP1143" s="8"/>
      <c r="GQ1143" s="8"/>
      <c r="GR1143" s="8"/>
      <c r="GS1143" s="8"/>
      <c r="GT1143" s="8"/>
      <c r="GU1143" s="8"/>
      <c r="GV1143" s="8"/>
      <c r="GW1143" s="8"/>
      <c r="GX1143" s="8"/>
      <c r="GY1143" s="8"/>
      <c r="GZ1143" s="8"/>
      <c r="HA1143" s="8"/>
      <c r="HB1143" s="8"/>
      <c r="HC1143" s="8"/>
      <c r="HD1143" s="8"/>
      <c r="HE1143" s="8"/>
      <c r="HF1143" s="8"/>
      <c r="HG1143" s="8"/>
      <c r="HH1143" s="8"/>
      <c r="HI1143" s="8"/>
      <c r="HJ1143" s="8"/>
      <c r="HK1143" s="8"/>
      <c r="HL1143" s="8"/>
      <c r="HM1143" s="8"/>
      <c r="HN1143" s="8"/>
      <c r="HO1143" s="8"/>
      <c r="HP1143" s="8"/>
      <c r="HQ1143" s="8"/>
      <c r="HR1143" s="8"/>
      <c r="HS1143" s="8"/>
      <c r="HT1143" s="8"/>
      <c r="HU1143" s="8"/>
      <c r="HV1143" s="8"/>
      <c r="HW1143" s="8"/>
      <c r="HX1143" s="8"/>
      <c r="HY1143" s="8"/>
      <c r="HZ1143" s="8"/>
      <c r="IA1143" s="8"/>
      <c r="IB1143" s="8"/>
      <c r="IC1143" s="8"/>
      <c r="ID1143" s="8"/>
      <c r="IE1143" s="8"/>
      <c r="IF1143" s="8"/>
    </row>
    <row r="1144" spans="1:240" ht="30" customHeight="1">
      <c r="A1144" s="5">
        <v>1142</v>
      </c>
      <c r="B1144" s="5"/>
      <c r="C1144" s="5"/>
      <c r="D1144" s="5" t="s">
        <v>68</v>
      </c>
      <c r="E1144" s="5" t="s">
        <v>48</v>
      </c>
      <c r="F1144" s="5" t="s">
        <v>48</v>
      </c>
      <c r="G1144" s="5" t="s">
        <v>48</v>
      </c>
      <c r="H1144" s="15">
        <f>11320*0.454</f>
        <v>5139.28</v>
      </c>
      <c r="I1144" s="5" t="s">
        <v>13</v>
      </c>
      <c r="J1144" s="15">
        <f>(3*344)/4.4</f>
        <v>234.54545454545453</v>
      </c>
      <c r="K1144" s="15">
        <f t="shared" si="33"/>
        <v>5.5560000000000009</v>
      </c>
      <c r="L1144" s="5">
        <v>1209.8</v>
      </c>
      <c r="M1144" s="5">
        <f t="shared" si="32"/>
        <v>3.8800000000000026</v>
      </c>
      <c r="N1144" s="5"/>
      <c r="O1144" s="15">
        <f>72800*1.6978</f>
        <v>123599.84</v>
      </c>
      <c r="P1144" s="5"/>
      <c r="Q1144" s="5"/>
      <c r="R1144" s="5">
        <v>2</v>
      </c>
      <c r="S1144" s="5"/>
      <c r="T1144" s="5"/>
      <c r="U1144" s="5"/>
      <c r="V1144" s="5">
        <f>15*0.7457*R1144</f>
        <v>22.371000000000002</v>
      </c>
      <c r="W1144" s="5"/>
      <c r="X1144" s="5"/>
      <c r="Y1144" s="5" t="s">
        <v>48</v>
      </c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16" t="s">
        <v>48</v>
      </c>
      <c r="AN1144" s="5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8"/>
      <c r="BS1144" s="8"/>
      <c r="BT1144" s="8"/>
      <c r="BU1144" s="8"/>
      <c r="BV1144" s="8"/>
      <c r="BW1144" s="8"/>
      <c r="BX1144" s="8"/>
      <c r="BY1144" s="8"/>
      <c r="BZ1144" s="8"/>
      <c r="CA1144" s="8"/>
      <c r="CB1144" s="8"/>
      <c r="CC1144" s="8"/>
      <c r="CD1144" s="8"/>
      <c r="CE1144" s="8"/>
      <c r="CF1144" s="8"/>
      <c r="CG1144" s="8"/>
      <c r="CH1144" s="8"/>
      <c r="CI1144" s="8"/>
      <c r="CJ1144" s="8"/>
      <c r="CK1144" s="8"/>
      <c r="CL1144" s="8"/>
      <c r="CM1144" s="8"/>
      <c r="CN1144" s="8"/>
      <c r="CO1144" s="8"/>
      <c r="CP1144" s="8"/>
      <c r="CQ1144" s="8"/>
      <c r="CR1144" s="8"/>
      <c r="CS1144" s="8"/>
      <c r="CT1144" s="8"/>
      <c r="CU1144" s="8"/>
      <c r="CV1144" s="8"/>
      <c r="CW1144" s="8"/>
      <c r="CX1144" s="8"/>
      <c r="CY1144" s="8"/>
      <c r="CZ1144" s="8"/>
      <c r="DA1144" s="8"/>
      <c r="DB1144" s="8"/>
      <c r="DC1144" s="8"/>
      <c r="DD1144" s="8"/>
      <c r="DE1144" s="8"/>
      <c r="DF1144" s="8"/>
      <c r="DG1144" s="8"/>
      <c r="DH1144" s="8"/>
      <c r="DI1144" s="8"/>
      <c r="DJ1144" s="8"/>
      <c r="DK1144" s="8"/>
      <c r="DL1144" s="8"/>
      <c r="DM1144" s="8"/>
      <c r="DN1144" s="8"/>
      <c r="DO1144" s="8"/>
      <c r="DP1144" s="8"/>
      <c r="DQ1144" s="8"/>
      <c r="DR1144" s="8"/>
      <c r="DS1144" s="8"/>
      <c r="DT1144" s="8"/>
      <c r="DU1144" s="8"/>
      <c r="DV1144" s="8"/>
      <c r="DW1144" s="8"/>
      <c r="DX1144" s="8"/>
      <c r="DY1144" s="8"/>
      <c r="DZ1144" s="8"/>
      <c r="EA1144" s="8"/>
      <c r="EB1144" s="8"/>
      <c r="EC1144" s="8"/>
      <c r="ED1144" s="8"/>
      <c r="EE1144" s="8"/>
      <c r="EF1144" s="8"/>
      <c r="EG1144" s="8"/>
      <c r="EH1144" s="8"/>
      <c r="EI1144" s="8"/>
      <c r="EJ1144" s="8"/>
      <c r="EK1144" s="8"/>
      <c r="EL1144" s="8"/>
      <c r="EM1144" s="8"/>
      <c r="EN1144" s="8"/>
      <c r="EO1144" s="8"/>
      <c r="EP1144" s="8"/>
      <c r="EQ1144" s="8"/>
      <c r="ER1144" s="8"/>
      <c r="ES1144" s="8"/>
      <c r="ET1144" s="8"/>
      <c r="EU1144" s="8"/>
      <c r="EV1144" s="8"/>
      <c r="EW1144" s="8"/>
      <c r="EX1144" s="8"/>
      <c r="EY1144" s="8"/>
      <c r="EZ1144" s="8"/>
      <c r="FA1144" s="8"/>
      <c r="FB1144" s="8"/>
      <c r="FC1144" s="8"/>
      <c r="FD1144" s="8"/>
      <c r="FE1144" s="8"/>
      <c r="FF1144" s="8"/>
      <c r="FG1144" s="8"/>
      <c r="FH1144" s="8"/>
      <c r="FI1144" s="8"/>
      <c r="FJ1144" s="8"/>
      <c r="FK1144" s="8"/>
      <c r="FL1144" s="8"/>
      <c r="FM1144" s="8"/>
      <c r="FN1144" s="8"/>
      <c r="FO1144" s="8"/>
      <c r="FP1144" s="8"/>
      <c r="FQ1144" s="8"/>
      <c r="FR1144" s="8"/>
      <c r="FS1144" s="8"/>
      <c r="FT1144" s="8"/>
      <c r="FU1144" s="8"/>
      <c r="FV1144" s="8"/>
      <c r="FW1144" s="8"/>
      <c r="FX1144" s="8"/>
      <c r="FY1144" s="8"/>
      <c r="FZ1144" s="8"/>
      <c r="GA1144" s="8"/>
      <c r="GB1144" s="8"/>
      <c r="GC1144" s="8"/>
      <c r="GD1144" s="8"/>
      <c r="GE1144" s="8"/>
      <c r="GF1144" s="8"/>
      <c r="GG1144" s="8"/>
      <c r="GH1144" s="8"/>
      <c r="GI1144" s="8"/>
      <c r="GJ1144" s="8"/>
      <c r="GK1144" s="8"/>
      <c r="GL1144" s="8"/>
      <c r="GM1144" s="8"/>
      <c r="GN1144" s="8"/>
      <c r="GO1144" s="8"/>
      <c r="GP1144" s="8"/>
      <c r="GQ1144" s="8"/>
      <c r="GR1144" s="8"/>
      <c r="GS1144" s="8"/>
      <c r="GT1144" s="8"/>
      <c r="GU1144" s="8"/>
      <c r="GV1144" s="8"/>
      <c r="GW1144" s="8"/>
      <c r="GX1144" s="8"/>
      <c r="GY1144" s="8"/>
      <c r="GZ1144" s="8"/>
      <c r="HA1144" s="8"/>
      <c r="HB1144" s="8"/>
      <c r="HC1144" s="8"/>
      <c r="HD1144" s="8"/>
      <c r="HE1144" s="8"/>
      <c r="HF1144" s="8"/>
      <c r="HG1144" s="8"/>
      <c r="HH1144" s="8"/>
      <c r="HI1144" s="8"/>
      <c r="HJ1144" s="8"/>
      <c r="HK1144" s="8"/>
      <c r="HL1144" s="8"/>
      <c r="HM1144" s="8"/>
      <c r="HN1144" s="8"/>
      <c r="HO1144" s="8"/>
      <c r="HP1144" s="8"/>
      <c r="HQ1144" s="8"/>
      <c r="HR1144" s="8"/>
      <c r="HS1144" s="8"/>
      <c r="HT1144" s="8"/>
      <c r="HU1144" s="8"/>
      <c r="HV1144" s="8"/>
      <c r="HW1144" s="8"/>
      <c r="HX1144" s="8"/>
      <c r="HY1144" s="8"/>
      <c r="HZ1144" s="8"/>
      <c r="IA1144" s="8"/>
      <c r="IB1144" s="8"/>
      <c r="IC1144" s="8"/>
      <c r="ID1144" s="8"/>
      <c r="IE1144" s="8"/>
      <c r="IF1144" s="8"/>
    </row>
    <row r="1145" spans="1:240" ht="30" customHeight="1">
      <c r="A1145" s="5">
        <v>1143</v>
      </c>
      <c r="B1145" s="5"/>
      <c r="C1145" s="5"/>
      <c r="D1145" s="5" t="s">
        <v>68</v>
      </c>
      <c r="E1145" s="5" t="s">
        <v>48</v>
      </c>
      <c r="F1145" s="5" t="s">
        <v>48</v>
      </c>
      <c r="G1145" s="5" t="s">
        <v>48</v>
      </c>
      <c r="H1145" s="15">
        <f>11700*0.454</f>
        <v>5311.8</v>
      </c>
      <c r="I1145" s="5" t="s">
        <v>13</v>
      </c>
      <c r="J1145" s="15">
        <f>(3*217)/4.4</f>
        <v>147.95454545454544</v>
      </c>
      <c r="K1145" s="15">
        <f t="shared" si="33"/>
        <v>5.5560000000000009</v>
      </c>
      <c r="L1145" s="5">
        <v>763.2</v>
      </c>
      <c r="M1145" s="5">
        <f t="shared" si="32"/>
        <v>3.8800000000000026</v>
      </c>
      <c r="N1145" s="5"/>
      <c r="O1145" s="15">
        <f>53200*1.6978</f>
        <v>90322.959999999992</v>
      </c>
      <c r="P1145" s="5"/>
      <c r="Q1145" s="5"/>
      <c r="R1145" s="5">
        <v>2</v>
      </c>
      <c r="S1145" s="5"/>
      <c r="T1145" s="5"/>
      <c r="U1145" s="5"/>
      <c r="V1145" s="5">
        <f>3*0.7457*R1145</f>
        <v>4.4741999999999997</v>
      </c>
      <c r="W1145" s="5"/>
      <c r="X1145" s="5"/>
      <c r="Y1145" s="5" t="s">
        <v>48</v>
      </c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16" t="s">
        <v>48</v>
      </c>
      <c r="AN1145" s="5"/>
      <c r="AO1145" s="8"/>
      <c r="AP1145" s="8"/>
      <c r="AQ1145" s="8"/>
      <c r="AR1145" s="8"/>
      <c r="AS1145" s="8"/>
      <c r="AT1145" s="8"/>
      <c r="AU1145" s="8"/>
      <c r="AV1145" s="8"/>
      <c r="AW1145" s="8"/>
      <c r="AX1145" s="8"/>
      <c r="AY1145" s="8"/>
      <c r="AZ1145" s="8"/>
      <c r="BA1145" s="8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8"/>
      <c r="BS1145" s="8"/>
      <c r="BT1145" s="8"/>
      <c r="BU1145" s="8"/>
      <c r="BV1145" s="8"/>
      <c r="BW1145" s="8"/>
      <c r="BX1145" s="8"/>
      <c r="BY1145" s="8"/>
      <c r="BZ1145" s="8"/>
      <c r="CA1145" s="8"/>
      <c r="CB1145" s="8"/>
      <c r="CC1145" s="8"/>
      <c r="CD1145" s="8"/>
      <c r="CE1145" s="8"/>
      <c r="CF1145" s="8"/>
      <c r="CG1145" s="8"/>
      <c r="CH1145" s="8"/>
      <c r="CI1145" s="8"/>
      <c r="CJ1145" s="8"/>
      <c r="CK1145" s="8"/>
      <c r="CL1145" s="8"/>
      <c r="CM1145" s="8"/>
      <c r="CN1145" s="8"/>
      <c r="CO1145" s="8"/>
      <c r="CP1145" s="8"/>
      <c r="CQ1145" s="8"/>
      <c r="CR1145" s="8"/>
      <c r="CS1145" s="8"/>
      <c r="CT1145" s="8"/>
      <c r="CU1145" s="8"/>
      <c r="CV1145" s="8"/>
      <c r="CW1145" s="8"/>
      <c r="CX1145" s="8"/>
      <c r="CY1145" s="8"/>
      <c r="CZ1145" s="8"/>
      <c r="DA1145" s="8"/>
      <c r="DB1145" s="8"/>
      <c r="DC1145" s="8"/>
      <c r="DD1145" s="8"/>
      <c r="DE1145" s="8"/>
      <c r="DF1145" s="8"/>
      <c r="DG1145" s="8"/>
      <c r="DH1145" s="8"/>
      <c r="DI1145" s="8"/>
      <c r="DJ1145" s="8"/>
      <c r="DK1145" s="8"/>
      <c r="DL1145" s="8"/>
      <c r="DM1145" s="8"/>
      <c r="DN1145" s="8"/>
      <c r="DO1145" s="8"/>
      <c r="DP1145" s="8"/>
      <c r="DQ1145" s="8"/>
      <c r="DR1145" s="8"/>
      <c r="DS1145" s="8"/>
      <c r="DT1145" s="8"/>
      <c r="DU1145" s="8"/>
      <c r="DV1145" s="8"/>
      <c r="DW1145" s="8"/>
      <c r="DX1145" s="8"/>
      <c r="DY1145" s="8"/>
      <c r="DZ1145" s="8"/>
      <c r="EA1145" s="8"/>
      <c r="EB1145" s="8"/>
      <c r="EC1145" s="8"/>
      <c r="ED1145" s="8"/>
      <c r="EE1145" s="8"/>
      <c r="EF1145" s="8"/>
      <c r="EG1145" s="8"/>
      <c r="EH1145" s="8"/>
      <c r="EI1145" s="8"/>
      <c r="EJ1145" s="8"/>
      <c r="EK1145" s="8"/>
      <c r="EL1145" s="8"/>
      <c r="EM1145" s="8"/>
      <c r="EN1145" s="8"/>
      <c r="EO1145" s="8"/>
      <c r="EP1145" s="8"/>
      <c r="EQ1145" s="8"/>
      <c r="ER1145" s="8"/>
      <c r="ES1145" s="8"/>
      <c r="ET1145" s="8"/>
      <c r="EU1145" s="8"/>
      <c r="EV1145" s="8"/>
      <c r="EW1145" s="8"/>
      <c r="EX1145" s="8"/>
      <c r="EY1145" s="8"/>
      <c r="EZ1145" s="8"/>
      <c r="FA1145" s="8"/>
      <c r="FB1145" s="8"/>
      <c r="FC1145" s="8"/>
      <c r="FD1145" s="8"/>
      <c r="FE1145" s="8"/>
      <c r="FF1145" s="8"/>
      <c r="FG1145" s="8"/>
      <c r="FH1145" s="8"/>
      <c r="FI1145" s="8"/>
      <c r="FJ1145" s="8"/>
      <c r="FK1145" s="8"/>
      <c r="FL1145" s="8"/>
      <c r="FM1145" s="8"/>
      <c r="FN1145" s="8"/>
      <c r="FO1145" s="8"/>
      <c r="FP1145" s="8"/>
      <c r="FQ1145" s="8"/>
      <c r="FR1145" s="8"/>
      <c r="FS1145" s="8"/>
      <c r="FT1145" s="8"/>
      <c r="FU1145" s="8"/>
      <c r="FV1145" s="8"/>
      <c r="FW1145" s="8"/>
      <c r="FX1145" s="8"/>
      <c r="FY1145" s="8"/>
      <c r="FZ1145" s="8"/>
      <c r="GA1145" s="8"/>
      <c r="GB1145" s="8"/>
      <c r="GC1145" s="8"/>
      <c r="GD1145" s="8"/>
      <c r="GE1145" s="8"/>
      <c r="GF1145" s="8"/>
      <c r="GG1145" s="8"/>
      <c r="GH1145" s="8"/>
      <c r="GI1145" s="8"/>
      <c r="GJ1145" s="8"/>
      <c r="GK1145" s="8"/>
      <c r="GL1145" s="8"/>
      <c r="GM1145" s="8"/>
      <c r="GN1145" s="8"/>
      <c r="GO1145" s="8"/>
      <c r="GP1145" s="8"/>
      <c r="GQ1145" s="8"/>
      <c r="GR1145" s="8"/>
      <c r="GS1145" s="8"/>
      <c r="GT1145" s="8"/>
      <c r="GU1145" s="8"/>
      <c r="GV1145" s="8"/>
      <c r="GW1145" s="8"/>
      <c r="GX1145" s="8"/>
      <c r="GY1145" s="8"/>
      <c r="GZ1145" s="8"/>
      <c r="HA1145" s="8"/>
      <c r="HB1145" s="8"/>
      <c r="HC1145" s="8"/>
      <c r="HD1145" s="8"/>
      <c r="HE1145" s="8"/>
      <c r="HF1145" s="8"/>
      <c r="HG1145" s="8"/>
      <c r="HH1145" s="8"/>
      <c r="HI1145" s="8"/>
      <c r="HJ1145" s="8"/>
      <c r="HK1145" s="8"/>
      <c r="HL1145" s="8"/>
      <c r="HM1145" s="8"/>
      <c r="HN1145" s="8"/>
      <c r="HO1145" s="8"/>
      <c r="HP1145" s="8"/>
      <c r="HQ1145" s="8"/>
      <c r="HR1145" s="8"/>
      <c r="HS1145" s="8"/>
      <c r="HT1145" s="8"/>
      <c r="HU1145" s="8"/>
      <c r="HV1145" s="8"/>
      <c r="HW1145" s="8"/>
      <c r="HX1145" s="8"/>
      <c r="HY1145" s="8"/>
      <c r="HZ1145" s="8"/>
      <c r="IA1145" s="8"/>
      <c r="IB1145" s="8"/>
      <c r="IC1145" s="8"/>
      <c r="ID1145" s="8"/>
      <c r="IE1145" s="8"/>
      <c r="IF1145" s="8"/>
    </row>
    <row r="1146" spans="1:240" ht="30" customHeight="1">
      <c r="A1146" s="5">
        <v>1144</v>
      </c>
      <c r="B1146" s="5"/>
      <c r="C1146" s="5"/>
      <c r="D1146" s="5" t="s">
        <v>68</v>
      </c>
      <c r="E1146" s="5" t="s">
        <v>48</v>
      </c>
      <c r="F1146" s="5" t="s">
        <v>48</v>
      </c>
      <c r="G1146" s="5" t="s">
        <v>48</v>
      </c>
      <c r="H1146" s="15">
        <f>11740*0.454</f>
        <v>5329.96</v>
      </c>
      <c r="I1146" s="5" t="s">
        <v>13</v>
      </c>
      <c r="J1146" s="15">
        <f>(3*274)/4.4</f>
        <v>186.81818181818181</v>
      </c>
      <c r="K1146" s="15">
        <f t="shared" si="33"/>
        <v>5.5560000000000009</v>
      </c>
      <c r="L1146" s="5">
        <v>963.6</v>
      </c>
      <c r="M1146" s="5">
        <f t="shared" si="32"/>
        <v>3.8800000000000026</v>
      </c>
      <c r="N1146" s="5"/>
      <c r="O1146" s="15">
        <f>62600*1.6978</f>
        <v>106282.28</v>
      </c>
      <c r="P1146" s="5"/>
      <c r="Q1146" s="5"/>
      <c r="R1146" s="5">
        <v>2</v>
      </c>
      <c r="S1146" s="5"/>
      <c r="T1146" s="5"/>
      <c r="U1146" s="5"/>
      <c r="V1146" s="5">
        <f>5*0.7457*R1146</f>
        <v>7.4570000000000007</v>
      </c>
      <c r="W1146" s="5"/>
      <c r="X1146" s="5"/>
      <c r="Y1146" s="5" t="s">
        <v>48</v>
      </c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16" t="s">
        <v>48</v>
      </c>
      <c r="AN1146" s="5"/>
      <c r="AO1146" s="8"/>
      <c r="AP1146" s="8"/>
      <c r="AQ1146" s="8"/>
      <c r="AR1146" s="8"/>
      <c r="AS1146" s="8"/>
      <c r="AT1146" s="8"/>
      <c r="AU1146" s="8"/>
      <c r="AV1146" s="8"/>
      <c r="AW1146" s="8"/>
      <c r="AX1146" s="8"/>
      <c r="AY1146" s="8"/>
      <c r="AZ1146" s="8"/>
      <c r="BA1146" s="8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8"/>
      <c r="BS1146" s="8"/>
      <c r="BT1146" s="8"/>
      <c r="BU1146" s="8"/>
      <c r="BV1146" s="8"/>
      <c r="BW1146" s="8"/>
      <c r="BX1146" s="8"/>
      <c r="BY1146" s="8"/>
      <c r="BZ1146" s="8"/>
      <c r="CA1146" s="8"/>
      <c r="CB1146" s="8"/>
      <c r="CC1146" s="8"/>
      <c r="CD1146" s="8"/>
      <c r="CE1146" s="8"/>
      <c r="CF1146" s="8"/>
      <c r="CG1146" s="8"/>
      <c r="CH1146" s="8"/>
      <c r="CI1146" s="8"/>
      <c r="CJ1146" s="8"/>
      <c r="CK1146" s="8"/>
      <c r="CL1146" s="8"/>
      <c r="CM1146" s="8"/>
      <c r="CN1146" s="8"/>
      <c r="CO1146" s="8"/>
      <c r="CP1146" s="8"/>
      <c r="CQ1146" s="8"/>
      <c r="CR1146" s="8"/>
      <c r="CS1146" s="8"/>
      <c r="CT1146" s="8"/>
      <c r="CU1146" s="8"/>
      <c r="CV1146" s="8"/>
      <c r="CW1146" s="8"/>
      <c r="CX1146" s="8"/>
      <c r="CY1146" s="8"/>
      <c r="CZ1146" s="8"/>
      <c r="DA1146" s="8"/>
      <c r="DB1146" s="8"/>
      <c r="DC1146" s="8"/>
      <c r="DD1146" s="8"/>
      <c r="DE1146" s="8"/>
      <c r="DF1146" s="8"/>
      <c r="DG1146" s="8"/>
      <c r="DH1146" s="8"/>
      <c r="DI1146" s="8"/>
      <c r="DJ1146" s="8"/>
      <c r="DK1146" s="8"/>
      <c r="DL1146" s="8"/>
      <c r="DM1146" s="8"/>
      <c r="DN1146" s="8"/>
      <c r="DO1146" s="8"/>
      <c r="DP1146" s="8"/>
      <c r="DQ1146" s="8"/>
      <c r="DR1146" s="8"/>
      <c r="DS1146" s="8"/>
      <c r="DT1146" s="8"/>
      <c r="DU1146" s="8"/>
      <c r="DV1146" s="8"/>
      <c r="DW1146" s="8"/>
      <c r="DX1146" s="8"/>
      <c r="DY1146" s="8"/>
      <c r="DZ1146" s="8"/>
      <c r="EA1146" s="8"/>
      <c r="EB1146" s="8"/>
      <c r="EC1146" s="8"/>
      <c r="ED1146" s="8"/>
      <c r="EE1146" s="8"/>
      <c r="EF1146" s="8"/>
      <c r="EG1146" s="8"/>
      <c r="EH1146" s="8"/>
      <c r="EI1146" s="8"/>
      <c r="EJ1146" s="8"/>
      <c r="EK1146" s="8"/>
      <c r="EL1146" s="8"/>
      <c r="EM1146" s="8"/>
      <c r="EN1146" s="8"/>
      <c r="EO1146" s="8"/>
      <c r="EP1146" s="8"/>
      <c r="EQ1146" s="8"/>
      <c r="ER1146" s="8"/>
      <c r="ES1146" s="8"/>
      <c r="ET1146" s="8"/>
      <c r="EU1146" s="8"/>
      <c r="EV1146" s="8"/>
      <c r="EW1146" s="8"/>
      <c r="EX1146" s="8"/>
      <c r="EY1146" s="8"/>
      <c r="EZ1146" s="8"/>
      <c r="FA1146" s="8"/>
      <c r="FB1146" s="8"/>
      <c r="FC1146" s="8"/>
      <c r="FD1146" s="8"/>
      <c r="FE1146" s="8"/>
      <c r="FF1146" s="8"/>
      <c r="FG1146" s="8"/>
      <c r="FH1146" s="8"/>
      <c r="FI1146" s="8"/>
      <c r="FJ1146" s="8"/>
      <c r="FK1146" s="8"/>
      <c r="FL1146" s="8"/>
      <c r="FM1146" s="8"/>
      <c r="FN1146" s="8"/>
      <c r="FO1146" s="8"/>
      <c r="FP1146" s="8"/>
      <c r="FQ1146" s="8"/>
      <c r="FR1146" s="8"/>
      <c r="FS1146" s="8"/>
      <c r="FT1146" s="8"/>
      <c r="FU1146" s="8"/>
      <c r="FV1146" s="8"/>
      <c r="FW1146" s="8"/>
      <c r="FX1146" s="8"/>
      <c r="FY1146" s="8"/>
      <c r="FZ1146" s="8"/>
      <c r="GA1146" s="8"/>
      <c r="GB1146" s="8"/>
      <c r="GC1146" s="8"/>
      <c r="GD1146" s="8"/>
      <c r="GE1146" s="8"/>
      <c r="GF1146" s="8"/>
      <c r="GG1146" s="8"/>
      <c r="GH1146" s="8"/>
      <c r="GI1146" s="8"/>
      <c r="GJ1146" s="8"/>
      <c r="GK1146" s="8"/>
      <c r="GL1146" s="8"/>
      <c r="GM1146" s="8"/>
      <c r="GN1146" s="8"/>
      <c r="GO1146" s="8"/>
      <c r="GP1146" s="8"/>
      <c r="GQ1146" s="8"/>
      <c r="GR1146" s="8"/>
      <c r="GS1146" s="8"/>
      <c r="GT1146" s="8"/>
      <c r="GU1146" s="8"/>
      <c r="GV1146" s="8"/>
      <c r="GW1146" s="8"/>
      <c r="GX1146" s="8"/>
      <c r="GY1146" s="8"/>
      <c r="GZ1146" s="8"/>
      <c r="HA1146" s="8"/>
      <c r="HB1146" s="8"/>
      <c r="HC1146" s="8"/>
      <c r="HD1146" s="8"/>
      <c r="HE1146" s="8"/>
      <c r="HF1146" s="8"/>
      <c r="HG1146" s="8"/>
      <c r="HH1146" s="8"/>
      <c r="HI1146" s="8"/>
      <c r="HJ1146" s="8"/>
      <c r="HK1146" s="8"/>
      <c r="HL1146" s="8"/>
      <c r="HM1146" s="8"/>
      <c r="HN1146" s="8"/>
      <c r="HO1146" s="8"/>
      <c r="HP1146" s="8"/>
      <c r="HQ1146" s="8"/>
      <c r="HR1146" s="8"/>
      <c r="HS1146" s="8"/>
      <c r="HT1146" s="8"/>
      <c r="HU1146" s="8"/>
      <c r="HV1146" s="8"/>
      <c r="HW1146" s="8"/>
      <c r="HX1146" s="8"/>
      <c r="HY1146" s="8"/>
      <c r="HZ1146" s="8"/>
      <c r="IA1146" s="8"/>
      <c r="IB1146" s="8"/>
      <c r="IC1146" s="8"/>
      <c r="ID1146" s="8"/>
      <c r="IE1146" s="8"/>
      <c r="IF1146" s="8"/>
    </row>
    <row r="1147" spans="1:240" ht="30" customHeight="1">
      <c r="A1147" s="5">
        <v>1145</v>
      </c>
      <c r="B1147" s="5"/>
      <c r="C1147" s="5"/>
      <c r="D1147" s="5" t="s">
        <v>68</v>
      </c>
      <c r="E1147" s="5" t="s">
        <v>48</v>
      </c>
      <c r="F1147" s="5" t="s">
        <v>48</v>
      </c>
      <c r="G1147" s="5" t="s">
        <v>48</v>
      </c>
      <c r="H1147" s="15">
        <f>11820*0.454</f>
        <v>5366.28</v>
      </c>
      <c r="I1147" s="5" t="s">
        <v>13</v>
      </c>
      <c r="J1147" s="15">
        <f>(3*297)/4.4</f>
        <v>202.49999999999997</v>
      </c>
      <c r="K1147" s="15">
        <f t="shared" si="33"/>
        <v>5.5560000000000009</v>
      </c>
      <c r="L1147" s="5">
        <v>1044.5</v>
      </c>
      <c r="M1147" s="5">
        <f t="shared" si="32"/>
        <v>3.8800000000000026</v>
      </c>
      <c r="N1147" s="5"/>
      <c r="O1147" s="15">
        <f>71400*1.6978</f>
        <v>121222.92</v>
      </c>
      <c r="P1147" s="5"/>
      <c r="Q1147" s="5"/>
      <c r="R1147" s="5">
        <v>2</v>
      </c>
      <c r="S1147" s="5"/>
      <c r="T1147" s="5"/>
      <c r="U1147" s="5"/>
      <c r="V1147" s="5">
        <f>7.5*0.7457*R1147</f>
        <v>11.185500000000001</v>
      </c>
      <c r="W1147" s="5"/>
      <c r="X1147" s="5"/>
      <c r="Y1147" s="5" t="s">
        <v>48</v>
      </c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16" t="s">
        <v>48</v>
      </c>
      <c r="AN1147" s="5"/>
      <c r="AO1147" s="8"/>
      <c r="AP1147" s="8"/>
      <c r="AQ1147" s="8"/>
      <c r="AR1147" s="8"/>
      <c r="AS1147" s="8"/>
      <c r="AT1147" s="8"/>
      <c r="AU1147" s="8"/>
      <c r="AV1147" s="8"/>
      <c r="AW1147" s="8"/>
      <c r="AX1147" s="8"/>
      <c r="AY1147" s="8"/>
      <c r="AZ1147" s="8"/>
      <c r="BA1147" s="8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8"/>
      <c r="BS1147" s="8"/>
      <c r="BT1147" s="8"/>
      <c r="BU1147" s="8"/>
      <c r="BV1147" s="8"/>
      <c r="BW1147" s="8"/>
      <c r="BX1147" s="8"/>
      <c r="BY1147" s="8"/>
      <c r="BZ1147" s="8"/>
      <c r="CA1147" s="8"/>
      <c r="CB1147" s="8"/>
      <c r="CC1147" s="8"/>
      <c r="CD1147" s="8"/>
      <c r="CE1147" s="8"/>
      <c r="CF1147" s="8"/>
      <c r="CG1147" s="8"/>
      <c r="CH1147" s="8"/>
      <c r="CI1147" s="8"/>
      <c r="CJ1147" s="8"/>
      <c r="CK1147" s="8"/>
      <c r="CL1147" s="8"/>
      <c r="CM1147" s="8"/>
      <c r="CN1147" s="8"/>
      <c r="CO1147" s="8"/>
      <c r="CP1147" s="8"/>
      <c r="CQ1147" s="8"/>
      <c r="CR1147" s="8"/>
      <c r="CS1147" s="8"/>
      <c r="CT1147" s="8"/>
      <c r="CU1147" s="8"/>
      <c r="CV1147" s="8"/>
      <c r="CW1147" s="8"/>
      <c r="CX1147" s="8"/>
      <c r="CY1147" s="8"/>
      <c r="CZ1147" s="8"/>
      <c r="DA1147" s="8"/>
      <c r="DB1147" s="8"/>
      <c r="DC1147" s="8"/>
      <c r="DD1147" s="8"/>
      <c r="DE1147" s="8"/>
      <c r="DF1147" s="8"/>
      <c r="DG1147" s="8"/>
      <c r="DH1147" s="8"/>
      <c r="DI1147" s="8"/>
      <c r="DJ1147" s="8"/>
      <c r="DK1147" s="8"/>
      <c r="DL1147" s="8"/>
      <c r="DM1147" s="8"/>
      <c r="DN1147" s="8"/>
      <c r="DO1147" s="8"/>
      <c r="DP1147" s="8"/>
      <c r="DQ1147" s="8"/>
      <c r="DR1147" s="8"/>
      <c r="DS1147" s="8"/>
      <c r="DT1147" s="8"/>
      <c r="DU1147" s="8"/>
      <c r="DV1147" s="8"/>
      <c r="DW1147" s="8"/>
      <c r="DX1147" s="8"/>
      <c r="DY1147" s="8"/>
      <c r="DZ1147" s="8"/>
      <c r="EA1147" s="8"/>
      <c r="EB1147" s="8"/>
      <c r="EC1147" s="8"/>
      <c r="ED1147" s="8"/>
      <c r="EE1147" s="8"/>
      <c r="EF1147" s="8"/>
      <c r="EG1147" s="8"/>
      <c r="EH1147" s="8"/>
      <c r="EI1147" s="8"/>
      <c r="EJ1147" s="8"/>
      <c r="EK1147" s="8"/>
      <c r="EL1147" s="8"/>
      <c r="EM1147" s="8"/>
      <c r="EN1147" s="8"/>
      <c r="EO1147" s="8"/>
      <c r="EP1147" s="8"/>
      <c r="EQ1147" s="8"/>
      <c r="ER1147" s="8"/>
      <c r="ES1147" s="8"/>
      <c r="ET1147" s="8"/>
      <c r="EU1147" s="8"/>
      <c r="EV1147" s="8"/>
      <c r="EW1147" s="8"/>
      <c r="EX1147" s="8"/>
      <c r="EY1147" s="8"/>
      <c r="EZ1147" s="8"/>
      <c r="FA1147" s="8"/>
      <c r="FB1147" s="8"/>
      <c r="FC1147" s="8"/>
      <c r="FD1147" s="8"/>
      <c r="FE1147" s="8"/>
      <c r="FF1147" s="8"/>
      <c r="FG1147" s="8"/>
      <c r="FH1147" s="8"/>
      <c r="FI1147" s="8"/>
      <c r="FJ1147" s="8"/>
      <c r="FK1147" s="8"/>
      <c r="FL1147" s="8"/>
      <c r="FM1147" s="8"/>
      <c r="FN1147" s="8"/>
      <c r="FO1147" s="8"/>
      <c r="FP1147" s="8"/>
      <c r="FQ1147" s="8"/>
      <c r="FR1147" s="8"/>
      <c r="FS1147" s="8"/>
      <c r="FT1147" s="8"/>
      <c r="FU1147" s="8"/>
      <c r="FV1147" s="8"/>
      <c r="FW1147" s="8"/>
      <c r="FX1147" s="8"/>
      <c r="FY1147" s="8"/>
      <c r="FZ1147" s="8"/>
      <c r="GA1147" s="8"/>
      <c r="GB1147" s="8"/>
      <c r="GC1147" s="8"/>
      <c r="GD1147" s="8"/>
      <c r="GE1147" s="8"/>
      <c r="GF1147" s="8"/>
      <c r="GG1147" s="8"/>
      <c r="GH1147" s="8"/>
      <c r="GI1147" s="8"/>
      <c r="GJ1147" s="8"/>
      <c r="GK1147" s="8"/>
      <c r="GL1147" s="8"/>
      <c r="GM1147" s="8"/>
      <c r="GN1147" s="8"/>
      <c r="GO1147" s="8"/>
      <c r="GP1147" s="8"/>
      <c r="GQ1147" s="8"/>
      <c r="GR1147" s="8"/>
      <c r="GS1147" s="8"/>
      <c r="GT1147" s="8"/>
      <c r="GU1147" s="8"/>
      <c r="GV1147" s="8"/>
      <c r="GW1147" s="8"/>
      <c r="GX1147" s="8"/>
      <c r="GY1147" s="8"/>
      <c r="GZ1147" s="8"/>
      <c r="HA1147" s="8"/>
      <c r="HB1147" s="8"/>
      <c r="HC1147" s="8"/>
      <c r="HD1147" s="8"/>
      <c r="HE1147" s="8"/>
      <c r="HF1147" s="8"/>
      <c r="HG1147" s="8"/>
      <c r="HH1147" s="8"/>
      <c r="HI1147" s="8"/>
      <c r="HJ1147" s="8"/>
      <c r="HK1147" s="8"/>
      <c r="HL1147" s="8"/>
      <c r="HM1147" s="8"/>
      <c r="HN1147" s="8"/>
      <c r="HO1147" s="8"/>
      <c r="HP1147" s="8"/>
      <c r="HQ1147" s="8"/>
      <c r="HR1147" s="8"/>
      <c r="HS1147" s="8"/>
      <c r="HT1147" s="8"/>
      <c r="HU1147" s="8"/>
      <c r="HV1147" s="8"/>
      <c r="HW1147" s="8"/>
      <c r="HX1147" s="8"/>
      <c r="HY1147" s="8"/>
      <c r="HZ1147" s="8"/>
      <c r="IA1147" s="8"/>
      <c r="IB1147" s="8"/>
      <c r="IC1147" s="8"/>
      <c r="ID1147" s="8"/>
      <c r="IE1147" s="8"/>
      <c r="IF1147" s="8"/>
    </row>
    <row r="1148" spans="1:240" ht="30" customHeight="1">
      <c r="A1148" s="5">
        <v>1146</v>
      </c>
      <c r="B1148" s="5"/>
      <c r="C1148" s="5"/>
      <c r="D1148" s="5" t="s">
        <v>68</v>
      </c>
      <c r="E1148" s="5" t="s">
        <v>48</v>
      </c>
      <c r="F1148" s="5" t="s">
        <v>48</v>
      </c>
      <c r="G1148" s="5" t="s">
        <v>48</v>
      </c>
      <c r="H1148" s="15">
        <f>11880*0.454</f>
        <v>5393.52</v>
      </c>
      <c r="I1148" s="5" t="s">
        <v>13</v>
      </c>
      <c r="J1148" s="15">
        <f>(3*319)/4.4</f>
        <v>217.49999999999997</v>
      </c>
      <c r="K1148" s="15">
        <f t="shared" si="33"/>
        <v>5.5560000000000009</v>
      </c>
      <c r="L1148" s="5">
        <v>1121.9000000000001</v>
      </c>
      <c r="M1148" s="5">
        <f t="shared" si="32"/>
        <v>3.8800000000000026</v>
      </c>
      <c r="N1148" s="5"/>
      <c r="O1148" s="15">
        <f>78300*1.6978</f>
        <v>132937.74</v>
      </c>
      <c r="P1148" s="5"/>
      <c r="Q1148" s="5"/>
      <c r="R1148" s="5">
        <v>2</v>
      </c>
      <c r="S1148" s="5"/>
      <c r="T1148" s="5"/>
      <c r="U1148" s="5"/>
      <c r="V1148" s="5">
        <f>10*0.7457*R1148</f>
        <v>14.914000000000001</v>
      </c>
      <c r="W1148" s="5"/>
      <c r="X1148" s="5"/>
      <c r="Y1148" s="5" t="s">
        <v>48</v>
      </c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16" t="s">
        <v>48</v>
      </c>
      <c r="AN1148" s="5"/>
      <c r="AO1148" s="8"/>
      <c r="AP1148" s="8"/>
      <c r="AQ1148" s="8"/>
      <c r="AR1148" s="8"/>
      <c r="AS1148" s="8"/>
      <c r="AT1148" s="8"/>
      <c r="AU1148" s="8"/>
      <c r="AV1148" s="8"/>
      <c r="AW1148" s="8"/>
      <c r="AX1148" s="8"/>
      <c r="AY1148" s="8"/>
      <c r="AZ1148" s="8"/>
      <c r="BA1148" s="8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8"/>
      <c r="BS1148" s="8"/>
      <c r="BT1148" s="8"/>
      <c r="BU1148" s="8"/>
      <c r="BV1148" s="8"/>
      <c r="BW1148" s="8"/>
      <c r="BX1148" s="8"/>
      <c r="BY1148" s="8"/>
      <c r="BZ1148" s="8"/>
      <c r="CA1148" s="8"/>
      <c r="CB1148" s="8"/>
      <c r="CC1148" s="8"/>
      <c r="CD1148" s="8"/>
      <c r="CE1148" s="8"/>
      <c r="CF1148" s="8"/>
      <c r="CG1148" s="8"/>
      <c r="CH1148" s="8"/>
      <c r="CI1148" s="8"/>
      <c r="CJ1148" s="8"/>
      <c r="CK1148" s="8"/>
      <c r="CL1148" s="8"/>
      <c r="CM1148" s="8"/>
      <c r="CN1148" s="8"/>
      <c r="CO1148" s="8"/>
      <c r="CP1148" s="8"/>
      <c r="CQ1148" s="8"/>
      <c r="CR1148" s="8"/>
      <c r="CS1148" s="8"/>
      <c r="CT1148" s="8"/>
      <c r="CU1148" s="8"/>
      <c r="CV1148" s="8"/>
      <c r="CW1148" s="8"/>
      <c r="CX1148" s="8"/>
      <c r="CY1148" s="8"/>
      <c r="CZ1148" s="8"/>
      <c r="DA1148" s="8"/>
      <c r="DB1148" s="8"/>
      <c r="DC1148" s="8"/>
      <c r="DD1148" s="8"/>
      <c r="DE1148" s="8"/>
      <c r="DF1148" s="8"/>
      <c r="DG1148" s="8"/>
      <c r="DH1148" s="8"/>
      <c r="DI1148" s="8"/>
      <c r="DJ1148" s="8"/>
      <c r="DK1148" s="8"/>
      <c r="DL1148" s="8"/>
      <c r="DM1148" s="8"/>
      <c r="DN1148" s="8"/>
      <c r="DO1148" s="8"/>
      <c r="DP1148" s="8"/>
      <c r="DQ1148" s="8"/>
      <c r="DR1148" s="8"/>
      <c r="DS1148" s="8"/>
      <c r="DT1148" s="8"/>
      <c r="DU1148" s="8"/>
      <c r="DV1148" s="8"/>
      <c r="DW1148" s="8"/>
      <c r="DX1148" s="8"/>
      <c r="DY1148" s="8"/>
      <c r="DZ1148" s="8"/>
      <c r="EA1148" s="8"/>
      <c r="EB1148" s="8"/>
      <c r="EC1148" s="8"/>
      <c r="ED1148" s="8"/>
      <c r="EE1148" s="8"/>
      <c r="EF1148" s="8"/>
      <c r="EG1148" s="8"/>
      <c r="EH1148" s="8"/>
      <c r="EI1148" s="8"/>
      <c r="EJ1148" s="8"/>
      <c r="EK1148" s="8"/>
      <c r="EL1148" s="8"/>
      <c r="EM1148" s="8"/>
      <c r="EN1148" s="8"/>
      <c r="EO1148" s="8"/>
      <c r="EP1148" s="8"/>
      <c r="EQ1148" s="8"/>
      <c r="ER1148" s="8"/>
      <c r="ES1148" s="8"/>
      <c r="ET1148" s="8"/>
      <c r="EU1148" s="8"/>
      <c r="EV1148" s="8"/>
      <c r="EW1148" s="8"/>
      <c r="EX1148" s="8"/>
      <c r="EY1148" s="8"/>
      <c r="EZ1148" s="8"/>
      <c r="FA1148" s="8"/>
      <c r="FB1148" s="8"/>
      <c r="FC1148" s="8"/>
      <c r="FD1148" s="8"/>
      <c r="FE1148" s="8"/>
      <c r="FF1148" s="8"/>
      <c r="FG1148" s="8"/>
      <c r="FH1148" s="8"/>
      <c r="FI1148" s="8"/>
      <c r="FJ1148" s="8"/>
      <c r="FK1148" s="8"/>
      <c r="FL1148" s="8"/>
      <c r="FM1148" s="8"/>
      <c r="FN1148" s="8"/>
      <c r="FO1148" s="8"/>
      <c r="FP1148" s="8"/>
      <c r="FQ1148" s="8"/>
      <c r="FR1148" s="8"/>
      <c r="FS1148" s="8"/>
      <c r="FT1148" s="8"/>
      <c r="FU1148" s="8"/>
      <c r="FV1148" s="8"/>
      <c r="FW1148" s="8"/>
      <c r="FX1148" s="8"/>
      <c r="FY1148" s="8"/>
      <c r="FZ1148" s="8"/>
      <c r="GA1148" s="8"/>
      <c r="GB1148" s="8"/>
      <c r="GC1148" s="8"/>
      <c r="GD1148" s="8"/>
      <c r="GE1148" s="8"/>
      <c r="GF1148" s="8"/>
      <c r="GG1148" s="8"/>
      <c r="GH1148" s="8"/>
      <c r="GI1148" s="8"/>
      <c r="GJ1148" s="8"/>
      <c r="GK1148" s="8"/>
      <c r="GL1148" s="8"/>
      <c r="GM1148" s="8"/>
      <c r="GN1148" s="8"/>
      <c r="GO1148" s="8"/>
      <c r="GP1148" s="8"/>
      <c r="GQ1148" s="8"/>
      <c r="GR1148" s="8"/>
      <c r="GS1148" s="8"/>
      <c r="GT1148" s="8"/>
      <c r="GU1148" s="8"/>
      <c r="GV1148" s="8"/>
      <c r="GW1148" s="8"/>
      <c r="GX1148" s="8"/>
      <c r="GY1148" s="8"/>
      <c r="GZ1148" s="8"/>
      <c r="HA1148" s="8"/>
      <c r="HB1148" s="8"/>
      <c r="HC1148" s="8"/>
      <c r="HD1148" s="8"/>
      <c r="HE1148" s="8"/>
      <c r="HF1148" s="8"/>
      <c r="HG1148" s="8"/>
      <c r="HH1148" s="8"/>
      <c r="HI1148" s="8"/>
      <c r="HJ1148" s="8"/>
      <c r="HK1148" s="8"/>
      <c r="HL1148" s="8"/>
      <c r="HM1148" s="8"/>
      <c r="HN1148" s="8"/>
      <c r="HO1148" s="8"/>
      <c r="HP1148" s="8"/>
      <c r="HQ1148" s="8"/>
      <c r="HR1148" s="8"/>
      <c r="HS1148" s="8"/>
      <c r="HT1148" s="8"/>
      <c r="HU1148" s="8"/>
      <c r="HV1148" s="8"/>
      <c r="HW1148" s="8"/>
      <c r="HX1148" s="8"/>
      <c r="HY1148" s="8"/>
      <c r="HZ1148" s="8"/>
      <c r="IA1148" s="8"/>
      <c r="IB1148" s="8"/>
      <c r="IC1148" s="8"/>
      <c r="ID1148" s="8"/>
      <c r="IE1148" s="8"/>
      <c r="IF1148" s="8"/>
    </row>
    <row r="1149" spans="1:240" ht="30" customHeight="1">
      <c r="A1149" s="5">
        <v>1147</v>
      </c>
      <c r="B1149" s="5"/>
      <c r="C1149" s="5"/>
      <c r="D1149" s="5" t="s">
        <v>68</v>
      </c>
      <c r="E1149" s="5" t="s">
        <v>48</v>
      </c>
      <c r="F1149" s="5" t="s">
        <v>48</v>
      </c>
      <c r="G1149" s="5" t="s">
        <v>48</v>
      </c>
      <c r="H1149" s="15">
        <f>12200*0.454</f>
        <v>5538.8</v>
      </c>
      <c r="I1149" s="5" t="s">
        <v>13</v>
      </c>
      <c r="J1149" s="15">
        <f>(3*304)/4.4</f>
        <v>207.27272727272725</v>
      </c>
      <c r="K1149" s="15">
        <f t="shared" si="33"/>
        <v>5.5560000000000009</v>
      </c>
      <c r="L1149" s="5">
        <v>1069.0999999999999</v>
      </c>
      <c r="M1149" s="5">
        <f t="shared" si="32"/>
        <v>3.8800000000000026</v>
      </c>
      <c r="N1149" s="5"/>
      <c r="O1149" s="15">
        <f>61600*1.6978</f>
        <v>104584.48</v>
      </c>
      <c r="P1149" s="5"/>
      <c r="Q1149" s="5"/>
      <c r="R1149" s="5">
        <v>2</v>
      </c>
      <c r="S1149" s="5"/>
      <c r="T1149" s="5"/>
      <c r="U1149" s="5"/>
      <c r="V1149" s="5">
        <f>5*0.7457*R1149</f>
        <v>7.4570000000000007</v>
      </c>
      <c r="W1149" s="5"/>
      <c r="X1149" s="5"/>
      <c r="Y1149" s="5" t="s">
        <v>48</v>
      </c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16" t="s">
        <v>48</v>
      </c>
      <c r="AN1149" s="5"/>
      <c r="AO1149" s="8"/>
      <c r="AP1149" s="8"/>
      <c r="AQ1149" s="8"/>
      <c r="AR1149" s="8"/>
      <c r="AS1149" s="8"/>
      <c r="AT1149" s="8"/>
      <c r="AU1149" s="8"/>
      <c r="AV1149" s="8"/>
      <c r="AW1149" s="8"/>
      <c r="AX1149" s="8"/>
      <c r="AY1149" s="8"/>
      <c r="AZ1149" s="8"/>
      <c r="BA1149" s="8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8"/>
      <c r="BS1149" s="8"/>
      <c r="BT1149" s="8"/>
      <c r="BU1149" s="8"/>
      <c r="BV1149" s="8"/>
      <c r="BW1149" s="8"/>
      <c r="BX1149" s="8"/>
      <c r="BY1149" s="8"/>
      <c r="BZ1149" s="8"/>
      <c r="CA1149" s="8"/>
      <c r="CB1149" s="8"/>
      <c r="CC1149" s="8"/>
      <c r="CD1149" s="8"/>
      <c r="CE1149" s="8"/>
      <c r="CF1149" s="8"/>
      <c r="CG1149" s="8"/>
      <c r="CH1149" s="8"/>
      <c r="CI1149" s="8"/>
      <c r="CJ1149" s="8"/>
      <c r="CK1149" s="8"/>
      <c r="CL1149" s="8"/>
      <c r="CM1149" s="8"/>
      <c r="CN1149" s="8"/>
      <c r="CO1149" s="8"/>
      <c r="CP1149" s="8"/>
      <c r="CQ1149" s="8"/>
      <c r="CR1149" s="8"/>
      <c r="CS1149" s="8"/>
      <c r="CT1149" s="8"/>
      <c r="CU1149" s="8"/>
      <c r="CV1149" s="8"/>
      <c r="CW1149" s="8"/>
      <c r="CX1149" s="8"/>
      <c r="CY1149" s="8"/>
      <c r="CZ1149" s="8"/>
      <c r="DA1149" s="8"/>
      <c r="DB1149" s="8"/>
      <c r="DC1149" s="8"/>
      <c r="DD1149" s="8"/>
      <c r="DE1149" s="8"/>
      <c r="DF1149" s="8"/>
      <c r="DG1149" s="8"/>
      <c r="DH1149" s="8"/>
      <c r="DI1149" s="8"/>
      <c r="DJ1149" s="8"/>
      <c r="DK1149" s="8"/>
      <c r="DL1149" s="8"/>
      <c r="DM1149" s="8"/>
      <c r="DN1149" s="8"/>
      <c r="DO1149" s="8"/>
      <c r="DP1149" s="8"/>
      <c r="DQ1149" s="8"/>
      <c r="DR1149" s="8"/>
      <c r="DS1149" s="8"/>
      <c r="DT1149" s="8"/>
      <c r="DU1149" s="8"/>
      <c r="DV1149" s="8"/>
      <c r="DW1149" s="8"/>
      <c r="DX1149" s="8"/>
      <c r="DY1149" s="8"/>
      <c r="DZ1149" s="8"/>
      <c r="EA1149" s="8"/>
      <c r="EB1149" s="8"/>
      <c r="EC1149" s="8"/>
      <c r="ED1149" s="8"/>
      <c r="EE1149" s="8"/>
      <c r="EF1149" s="8"/>
      <c r="EG1149" s="8"/>
      <c r="EH1149" s="8"/>
      <c r="EI1149" s="8"/>
      <c r="EJ1149" s="8"/>
      <c r="EK1149" s="8"/>
      <c r="EL1149" s="8"/>
      <c r="EM1149" s="8"/>
      <c r="EN1149" s="8"/>
      <c r="EO1149" s="8"/>
      <c r="EP1149" s="8"/>
      <c r="EQ1149" s="8"/>
      <c r="ER1149" s="8"/>
      <c r="ES1149" s="8"/>
      <c r="ET1149" s="8"/>
      <c r="EU1149" s="8"/>
      <c r="EV1149" s="8"/>
      <c r="EW1149" s="8"/>
      <c r="EX1149" s="8"/>
      <c r="EY1149" s="8"/>
      <c r="EZ1149" s="8"/>
      <c r="FA1149" s="8"/>
      <c r="FB1149" s="8"/>
      <c r="FC1149" s="8"/>
      <c r="FD1149" s="8"/>
      <c r="FE1149" s="8"/>
      <c r="FF1149" s="8"/>
      <c r="FG1149" s="8"/>
      <c r="FH1149" s="8"/>
      <c r="FI1149" s="8"/>
      <c r="FJ1149" s="8"/>
      <c r="FK1149" s="8"/>
      <c r="FL1149" s="8"/>
      <c r="FM1149" s="8"/>
      <c r="FN1149" s="8"/>
      <c r="FO1149" s="8"/>
      <c r="FP1149" s="8"/>
      <c r="FQ1149" s="8"/>
      <c r="FR1149" s="8"/>
      <c r="FS1149" s="8"/>
      <c r="FT1149" s="8"/>
      <c r="FU1149" s="8"/>
      <c r="FV1149" s="8"/>
      <c r="FW1149" s="8"/>
      <c r="FX1149" s="8"/>
      <c r="FY1149" s="8"/>
      <c r="FZ1149" s="8"/>
      <c r="GA1149" s="8"/>
      <c r="GB1149" s="8"/>
      <c r="GC1149" s="8"/>
      <c r="GD1149" s="8"/>
      <c r="GE1149" s="8"/>
      <c r="GF1149" s="8"/>
      <c r="GG1149" s="8"/>
      <c r="GH1149" s="8"/>
      <c r="GI1149" s="8"/>
      <c r="GJ1149" s="8"/>
      <c r="GK1149" s="8"/>
      <c r="GL1149" s="8"/>
      <c r="GM1149" s="8"/>
      <c r="GN1149" s="8"/>
      <c r="GO1149" s="8"/>
      <c r="GP1149" s="8"/>
      <c r="GQ1149" s="8"/>
      <c r="GR1149" s="8"/>
      <c r="GS1149" s="8"/>
      <c r="GT1149" s="8"/>
      <c r="GU1149" s="8"/>
      <c r="GV1149" s="8"/>
      <c r="GW1149" s="8"/>
      <c r="GX1149" s="8"/>
      <c r="GY1149" s="8"/>
      <c r="GZ1149" s="8"/>
      <c r="HA1149" s="8"/>
      <c r="HB1149" s="8"/>
      <c r="HC1149" s="8"/>
      <c r="HD1149" s="8"/>
      <c r="HE1149" s="8"/>
      <c r="HF1149" s="8"/>
      <c r="HG1149" s="8"/>
      <c r="HH1149" s="8"/>
      <c r="HI1149" s="8"/>
      <c r="HJ1149" s="8"/>
      <c r="HK1149" s="8"/>
      <c r="HL1149" s="8"/>
      <c r="HM1149" s="8"/>
      <c r="HN1149" s="8"/>
      <c r="HO1149" s="8"/>
      <c r="HP1149" s="8"/>
      <c r="HQ1149" s="8"/>
      <c r="HR1149" s="8"/>
      <c r="HS1149" s="8"/>
      <c r="HT1149" s="8"/>
      <c r="HU1149" s="8"/>
      <c r="HV1149" s="8"/>
      <c r="HW1149" s="8"/>
      <c r="HX1149" s="8"/>
      <c r="HY1149" s="8"/>
      <c r="HZ1149" s="8"/>
      <c r="IA1149" s="8"/>
      <c r="IB1149" s="8"/>
      <c r="IC1149" s="8"/>
      <c r="ID1149" s="8"/>
      <c r="IE1149" s="8"/>
      <c r="IF1149" s="8"/>
    </row>
    <row r="1150" spans="1:240" ht="30" customHeight="1">
      <c r="A1150" s="5">
        <v>1148</v>
      </c>
      <c r="B1150" s="5"/>
      <c r="C1150" s="5"/>
      <c r="D1150" s="5" t="s">
        <v>68</v>
      </c>
      <c r="E1150" s="5" t="s">
        <v>48</v>
      </c>
      <c r="F1150" s="5" t="s">
        <v>48</v>
      </c>
      <c r="G1150" s="5" t="s">
        <v>48</v>
      </c>
      <c r="H1150" s="15">
        <f>12280*0.454</f>
        <v>5575.12</v>
      </c>
      <c r="I1150" s="5" t="s">
        <v>13</v>
      </c>
      <c r="J1150" s="15">
        <f>(3*331)/4.4</f>
        <v>225.68181818181816</v>
      </c>
      <c r="K1150" s="15">
        <f t="shared" si="33"/>
        <v>5.5560000000000009</v>
      </c>
      <c r="L1150" s="5">
        <v>1164.0999999999999</v>
      </c>
      <c r="M1150" s="5">
        <f t="shared" si="32"/>
        <v>3.8800000000000026</v>
      </c>
      <c r="N1150" s="5"/>
      <c r="O1150" s="15">
        <f>70200*1.6978</f>
        <v>119185.56</v>
      </c>
      <c r="P1150" s="5"/>
      <c r="Q1150" s="5"/>
      <c r="R1150" s="5">
        <v>2</v>
      </c>
      <c r="S1150" s="5"/>
      <c r="T1150" s="5"/>
      <c r="U1150" s="5"/>
      <c r="V1150" s="5">
        <f>7.5*0.7457*R1150</f>
        <v>11.185500000000001</v>
      </c>
      <c r="W1150" s="5"/>
      <c r="X1150" s="5"/>
      <c r="Y1150" s="5" t="s">
        <v>48</v>
      </c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16" t="s">
        <v>48</v>
      </c>
      <c r="AN1150" s="5"/>
      <c r="AO1150" s="8"/>
      <c r="AP1150" s="8"/>
      <c r="AQ1150" s="8"/>
      <c r="AR1150" s="8"/>
      <c r="AS1150" s="8"/>
      <c r="AT1150" s="8"/>
      <c r="AU1150" s="8"/>
      <c r="AV1150" s="8"/>
      <c r="AW1150" s="8"/>
      <c r="AX1150" s="8"/>
      <c r="AY1150" s="8"/>
      <c r="AZ1150" s="8"/>
      <c r="BA1150" s="8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8"/>
      <c r="BS1150" s="8"/>
      <c r="BT1150" s="8"/>
      <c r="BU1150" s="8"/>
      <c r="BV1150" s="8"/>
      <c r="BW1150" s="8"/>
      <c r="BX1150" s="8"/>
      <c r="BY1150" s="8"/>
      <c r="BZ1150" s="8"/>
      <c r="CA1150" s="8"/>
      <c r="CB1150" s="8"/>
      <c r="CC1150" s="8"/>
      <c r="CD1150" s="8"/>
      <c r="CE1150" s="8"/>
      <c r="CF1150" s="8"/>
      <c r="CG1150" s="8"/>
      <c r="CH1150" s="8"/>
      <c r="CI1150" s="8"/>
      <c r="CJ1150" s="8"/>
      <c r="CK1150" s="8"/>
      <c r="CL1150" s="8"/>
      <c r="CM1150" s="8"/>
      <c r="CN1150" s="8"/>
      <c r="CO1150" s="8"/>
      <c r="CP1150" s="8"/>
      <c r="CQ1150" s="8"/>
      <c r="CR1150" s="8"/>
      <c r="CS1150" s="8"/>
      <c r="CT1150" s="8"/>
      <c r="CU1150" s="8"/>
      <c r="CV1150" s="8"/>
      <c r="CW1150" s="8"/>
      <c r="CX1150" s="8"/>
      <c r="CY1150" s="8"/>
      <c r="CZ1150" s="8"/>
      <c r="DA1150" s="8"/>
      <c r="DB1150" s="8"/>
      <c r="DC1150" s="8"/>
      <c r="DD1150" s="8"/>
      <c r="DE1150" s="8"/>
      <c r="DF1150" s="8"/>
      <c r="DG1150" s="8"/>
      <c r="DH1150" s="8"/>
      <c r="DI1150" s="8"/>
      <c r="DJ1150" s="8"/>
      <c r="DK1150" s="8"/>
      <c r="DL1150" s="8"/>
      <c r="DM1150" s="8"/>
      <c r="DN1150" s="8"/>
      <c r="DO1150" s="8"/>
      <c r="DP1150" s="8"/>
      <c r="DQ1150" s="8"/>
      <c r="DR1150" s="8"/>
      <c r="DS1150" s="8"/>
      <c r="DT1150" s="8"/>
      <c r="DU1150" s="8"/>
      <c r="DV1150" s="8"/>
      <c r="DW1150" s="8"/>
      <c r="DX1150" s="8"/>
      <c r="DY1150" s="8"/>
      <c r="DZ1150" s="8"/>
      <c r="EA1150" s="8"/>
      <c r="EB1150" s="8"/>
      <c r="EC1150" s="8"/>
      <c r="ED1150" s="8"/>
      <c r="EE1150" s="8"/>
      <c r="EF1150" s="8"/>
      <c r="EG1150" s="8"/>
      <c r="EH1150" s="8"/>
      <c r="EI1150" s="8"/>
      <c r="EJ1150" s="8"/>
      <c r="EK1150" s="8"/>
      <c r="EL1150" s="8"/>
      <c r="EM1150" s="8"/>
      <c r="EN1150" s="8"/>
      <c r="EO1150" s="8"/>
      <c r="EP1150" s="8"/>
      <c r="EQ1150" s="8"/>
      <c r="ER1150" s="8"/>
      <c r="ES1150" s="8"/>
      <c r="ET1150" s="8"/>
      <c r="EU1150" s="8"/>
      <c r="EV1150" s="8"/>
      <c r="EW1150" s="8"/>
      <c r="EX1150" s="8"/>
      <c r="EY1150" s="8"/>
      <c r="EZ1150" s="8"/>
      <c r="FA1150" s="8"/>
      <c r="FB1150" s="8"/>
      <c r="FC1150" s="8"/>
      <c r="FD1150" s="8"/>
      <c r="FE1150" s="8"/>
      <c r="FF1150" s="8"/>
      <c r="FG1150" s="8"/>
      <c r="FH1150" s="8"/>
      <c r="FI1150" s="8"/>
      <c r="FJ1150" s="8"/>
      <c r="FK1150" s="8"/>
      <c r="FL1150" s="8"/>
      <c r="FM1150" s="8"/>
      <c r="FN1150" s="8"/>
      <c r="FO1150" s="8"/>
      <c r="FP1150" s="8"/>
      <c r="FQ1150" s="8"/>
      <c r="FR1150" s="8"/>
      <c r="FS1150" s="8"/>
      <c r="FT1150" s="8"/>
      <c r="FU1150" s="8"/>
      <c r="FV1150" s="8"/>
      <c r="FW1150" s="8"/>
      <c r="FX1150" s="8"/>
      <c r="FY1150" s="8"/>
      <c r="FZ1150" s="8"/>
      <c r="GA1150" s="8"/>
      <c r="GB1150" s="8"/>
      <c r="GC1150" s="8"/>
      <c r="GD1150" s="8"/>
      <c r="GE1150" s="8"/>
      <c r="GF1150" s="8"/>
      <c r="GG1150" s="8"/>
      <c r="GH1150" s="8"/>
      <c r="GI1150" s="8"/>
      <c r="GJ1150" s="8"/>
      <c r="GK1150" s="8"/>
      <c r="GL1150" s="8"/>
      <c r="GM1150" s="8"/>
      <c r="GN1150" s="8"/>
      <c r="GO1150" s="8"/>
      <c r="GP1150" s="8"/>
      <c r="GQ1150" s="8"/>
      <c r="GR1150" s="8"/>
      <c r="GS1150" s="8"/>
      <c r="GT1150" s="8"/>
      <c r="GU1150" s="8"/>
      <c r="GV1150" s="8"/>
      <c r="GW1150" s="8"/>
      <c r="GX1150" s="8"/>
      <c r="GY1150" s="8"/>
      <c r="GZ1150" s="8"/>
      <c r="HA1150" s="8"/>
      <c r="HB1150" s="8"/>
      <c r="HC1150" s="8"/>
      <c r="HD1150" s="8"/>
      <c r="HE1150" s="8"/>
      <c r="HF1150" s="8"/>
      <c r="HG1150" s="8"/>
      <c r="HH1150" s="8"/>
      <c r="HI1150" s="8"/>
      <c r="HJ1150" s="8"/>
      <c r="HK1150" s="8"/>
      <c r="HL1150" s="8"/>
      <c r="HM1150" s="8"/>
      <c r="HN1150" s="8"/>
      <c r="HO1150" s="8"/>
      <c r="HP1150" s="8"/>
      <c r="HQ1150" s="8"/>
      <c r="HR1150" s="8"/>
      <c r="HS1150" s="8"/>
      <c r="HT1150" s="8"/>
      <c r="HU1150" s="8"/>
      <c r="HV1150" s="8"/>
      <c r="HW1150" s="8"/>
      <c r="HX1150" s="8"/>
      <c r="HY1150" s="8"/>
      <c r="HZ1150" s="8"/>
      <c r="IA1150" s="8"/>
      <c r="IB1150" s="8"/>
      <c r="IC1150" s="8"/>
      <c r="ID1150" s="8"/>
      <c r="IE1150" s="8"/>
      <c r="IF1150" s="8"/>
    </row>
    <row r="1151" spans="1:240" ht="30" customHeight="1">
      <c r="A1151" s="5">
        <v>1149</v>
      </c>
      <c r="B1151" s="5"/>
      <c r="C1151" s="5"/>
      <c r="D1151" s="5" t="s">
        <v>68</v>
      </c>
      <c r="E1151" s="5" t="s">
        <v>48</v>
      </c>
      <c r="F1151" s="5" t="s">
        <v>48</v>
      </c>
      <c r="G1151" s="5" t="s">
        <v>48</v>
      </c>
      <c r="H1151" s="15">
        <f>12340*0.454</f>
        <v>5602.3600000000006</v>
      </c>
      <c r="I1151" s="5" t="s">
        <v>13</v>
      </c>
      <c r="J1151" s="15">
        <f>(3*358)/4.4</f>
        <v>244.09090909090907</v>
      </c>
      <c r="K1151" s="15">
        <f t="shared" si="33"/>
        <v>5.5560000000000009</v>
      </c>
      <c r="L1151" s="5">
        <v>1259</v>
      </c>
      <c r="M1151" s="5">
        <f t="shared" si="32"/>
        <v>3.8800000000000026</v>
      </c>
      <c r="N1151" s="5"/>
      <c r="O1151" s="15">
        <f>76900*1.6978</f>
        <v>130560.81999999999</v>
      </c>
      <c r="P1151" s="5"/>
      <c r="Q1151" s="5"/>
      <c r="R1151" s="5">
        <v>2</v>
      </c>
      <c r="S1151" s="5"/>
      <c r="T1151" s="5"/>
      <c r="U1151" s="5"/>
      <c r="V1151" s="5">
        <f>10*0.7457*R1151</f>
        <v>14.914000000000001</v>
      </c>
      <c r="W1151" s="5"/>
      <c r="X1151" s="5"/>
      <c r="Y1151" s="5" t="s">
        <v>48</v>
      </c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16" t="s">
        <v>48</v>
      </c>
      <c r="AN1151" s="5"/>
      <c r="AO1151" s="8"/>
      <c r="AP1151" s="8"/>
      <c r="AQ1151" s="8"/>
      <c r="AR1151" s="8"/>
      <c r="AS1151" s="8"/>
      <c r="AT1151" s="8"/>
      <c r="AU1151" s="8"/>
      <c r="AV1151" s="8"/>
      <c r="AW1151" s="8"/>
      <c r="AX1151" s="8"/>
      <c r="AY1151" s="8"/>
      <c r="AZ1151" s="8"/>
      <c r="BA1151" s="8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8"/>
      <c r="BS1151" s="8"/>
      <c r="BT1151" s="8"/>
      <c r="BU1151" s="8"/>
      <c r="BV1151" s="8"/>
      <c r="BW1151" s="8"/>
      <c r="BX1151" s="8"/>
      <c r="BY1151" s="8"/>
      <c r="BZ1151" s="8"/>
      <c r="CA1151" s="8"/>
      <c r="CB1151" s="8"/>
      <c r="CC1151" s="8"/>
      <c r="CD1151" s="8"/>
      <c r="CE1151" s="8"/>
      <c r="CF1151" s="8"/>
      <c r="CG1151" s="8"/>
      <c r="CH1151" s="8"/>
      <c r="CI1151" s="8"/>
      <c r="CJ1151" s="8"/>
      <c r="CK1151" s="8"/>
      <c r="CL1151" s="8"/>
      <c r="CM1151" s="8"/>
      <c r="CN1151" s="8"/>
      <c r="CO1151" s="8"/>
      <c r="CP1151" s="8"/>
      <c r="CQ1151" s="8"/>
      <c r="CR1151" s="8"/>
      <c r="CS1151" s="8"/>
      <c r="CT1151" s="8"/>
      <c r="CU1151" s="8"/>
      <c r="CV1151" s="8"/>
      <c r="CW1151" s="8"/>
      <c r="CX1151" s="8"/>
      <c r="CY1151" s="8"/>
      <c r="CZ1151" s="8"/>
      <c r="DA1151" s="8"/>
      <c r="DB1151" s="8"/>
      <c r="DC1151" s="8"/>
      <c r="DD1151" s="8"/>
      <c r="DE1151" s="8"/>
      <c r="DF1151" s="8"/>
      <c r="DG1151" s="8"/>
      <c r="DH1151" s="8"/>
      <c r="DI1151" s="8"/>
      <c r="DJ1151" s="8"/>
      <c r="DK1151" s="8"/>
      <c r="DL1151" s="8"/>
      <c r="DM1151" s="8"/>
      <c r="DN1151" s="8"/>
      <c r="DO1151" s="8"/>
      <c r="DP1151" s="8"/>
      <c r="DQ1151" s="8"/>
      <c r="DR1151" s="8"/>
      <c r="DS1151" s="8"/>
      <c r="DT1151" s="8"/>
      <c r="DU1151" s="8"/>
      <c r="DV1151" s="8"/>
      <c r="DW1151" s="8"/>
      <c r="DX1151" s="8"/>
      <c r="DY1151" s="8"/>
      <c r="DZ1151" s="8"/>
      <c r="EA1151" s="8"/>
      <c r="EB1151" s="8"/>
      <c r="EC1151" s="8"/>
      <c r="ED1151" s="8"/>
      <c r="EE1151" s="8"/>
      <c r="EF1151" s="8"/>
      <c r="EG1151" s="8"/>
      <c r="EH1151" s="8"/>
      <c r="EI1151" s="8"/>
      <c r="EJ1151" s="8"/>
      <c r="EK1151" s="8"/>
      <c r="EL1151" s="8"/>
      <c r="EM1151" s="8"/>
      <c r="EN1151" s="8"/>
      <c r="EO1151" s="8"/>
      <c r="EP1151" s="8"/>
      <c r="EQ1151" s="8"/>
      <c r="ER1151" s="8"/>
      <c r="ES1151" s="8"/>
      <c r="ET1151" s="8"/>
      <c r="EU1151" s="8"/>
      <c r="EV1151" s="8"/>
      <c r="EW1151" s="8"/>
      <c r="EX1151" s="8"/>
      <c r="EY1151" s="8"/>
      <c r="EZ1151" s="8"/>
      <c r="FA1151" s="8"/>
      <c r="FB1151" s="8"/>
      <c r="FC1151" s="8"/>
      <c r="FD1151" s="8"/>
      <c r="FE1151" s="8"/>
      <c r="FF1151" s="8"/>
      <c r="FG1151" s="8"/>
      <c r="FH1151" s="8"/>
      <c r="FI1151" s="8"/>
      <c r="FJ1151" s="8"/>
      <c r="FK1151" s="8"/>
      <c r="FL1151" s="8"/>
      <c r="FM1151" s="8"/>
      <c r="FN1151" s="8"/>
      <c r="FO1151" s="8"/>
      <c r="FP1151" s="8"/>
      <c r="FQ1151" s="8"/>
      <c r="FR1151" s="8"/>
      <c r="FS1151" s="8"/>
      <c r="FT1151" s="8"/>
      <c r="FU1151" s="8"/>
      <c r="FV1151" s="8"/>
      <c r="FW1151" s="8"/>
      <c r="FX1151" s="8"/>
      <c r="FY1151" s="8"/>
      <c r="FZ1151" s="8"/>
      <c r="GA1151" s="8"/>
      <c r="GB1151" s="8"/>
      <c r="GC1151" s="8"/>
      <c r="GD1151" s="8"/>
      <c r="GE1151" s="8"/>
      <c r="GF1151" s="8"/>
      <c r="GG1151" s="8"/>
      <c r="GH1151" s="8"/>
      <c r="GI1151" s="8"/>
      <c r="GJ1151" s="8"/>
      <c r="GK1151" s="8"/>
      <c r="GL1151" s="8"/>
      <c r="GM1151" s="8"/>
      <c r="GN1151" s="8"/>
      <c r="GO1151" s="8"/>
      <c r="GP1151" s="8"/>
      <c r="GQ1151" s="8"/>
      <c r="GR1151" s="8"/>
      <c r="GS1151" s="8"/>
      <c r="GT1151" s="8"/>
      <c r="GU1151" s="8"/>
      <c r="GV1151" s="8"/>
      <c r="GW1151" s="8"/>
      <c r="GX1151" s="8"/>
      <c r="GY1151" s="8"/>
      <c r="GZ1151" s="8"/>
      <c r="HA1151" s="8"/>
      <c r="HB1151" s="8"/>
      <c r="HC1151" s="8"/>
      <c r="HD1151" s="8"/>
      <c r="HE1151" s="8"/>
      <c r="HF1151" s="8"/>
      <c r="HG1151" s="8"/>
      <c r="HH1151" s="8"/>
      <c r="HI1151" s="8"/>
      <c r="HJ1151" s="8"/>
      <c r="HK1151" s="8"/>
      <c r="HL1151" s="8"/>
      <c r="HM1151" s="8"/>
      <c r="HN1151" s="8"/>
      <c r="HO1151" s="8"/>
      <c r="HP1151" s="8"/>
      <c r="HQ1151" s="8"/>
      <c r="HR1151" s="8"/>
      <c r="HS1151" s="8"/>
      <c r="HT1151" s="8"/>
      <c r="HU1151" s="8"/>
      <c r="HV1151" s="8"/>
      <c r="HW1151" s="8"/>
      <c r="HX1151" s="8"/>
      <c r="HY1151" s="8"/>
      <c r="HZ1151" s="8"/>
      <c r="IA1151" s="8"/>
      <c r="IB1151" s="8"/>
      <c r="IC1151" s="8"/>
      <c r="ID1151" s="8"/>
      <c r="IE1151" s="8"/>
      <c r="IF1151" s="8"/>
    </row>
    <row r="1152" spans="1:240" ht="30" customHeight="1">
      <c r="A1152" s="5">
        <v>1150</v>
      </c>
      <c r="B1152" s="5"/>
      <c r="C1152" s="5"/>
      <c r="D1152" s="5" t="s">
        <v>68</v>
      </c>
      <c r="E1152" s="5" t="s">
        <v>48</v>
      </c>
      <c r="F1152" s="5" t="s">
        <v>48</v>
      </c>
      <c r="G1152" s="5" t="s">
        <v>48</v>
      </c>
      <c r="H1152" s="15">
        <f>12820*0.454</f>
        <v>5820.28</v>
      </c>
      <c r="I1152" s="5" t="s">
        <v>13</v>
      </c>
      <c r="J1152" s="15">
        <f>(3*346)/4.4</f>
        <v>235.90909090909088</v>
      </c>
      <c r="K1152" s="15">
        <f t="shared" si="33"/>
        <v>5.5560000000000009</v>
      </c>
      <c r="L1152" s="5">
        <v>1216.8</v>
      </c>
      <c r="M1152" s="5">
        <f t="shared" si="32"/>
        <v>3.8800000000000026</v>
      </c>
      <c r="N1152" s="5"/>
      <c r="O1152" s="15">
        <f>69100*1.6978</f>
        <v>117317.98</v>
      </c>
      <c r="P1152" s="5"/>
      <c r="Q1152" s="5"/>
      <c r="R1152" s="5">
        <v>2</v>
      </c>
      <c r="S1152" s="5"/>
      <c r="T1152" s="5"/>
      <c r="U1152" s="5"/>
      <c r="V1152" s="5">
        <f>7.5*0.7457*R1152</f>
        <v>11.185500000000001</v>
      </c>
      <c r="W1152" s="5"/>
      <c r="X1152" s="5"/>
      <c r="Y1152" s="5" t="s">
        <v>48</v>
      </c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16" t="s">
        <v>48</v>
      </c>
      <c r="AN1152" s="5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8"/>
      <c r="BS1152" s="8"/>
      <c r="BT1152" s="8"/>
      <c r="BU1152" s="8"/>
      <c r="BV1152" s="8"/>
      <c r="BW1152" s="8"/>
      <c r="BX1152" s="8"/>
      <c r="BY1152" s="8"/>
      <c r="BZ1152" s="8"/>
      <c r="CA1152" s="8"/>
      <c r="CB1152" s="8"/>
      <c r="CC1152" s="8"/>
      <c r="CD1152" s="8"/>
      <c r="CE1152" s="8"/>
      <c r="CF1152" s="8"/>
      <c r="CG1152" s="8"/>
      <c r="CH1152" s="8"/>
      <c r="CI1152" s="8"/>
      <c r="CJ1152" s="8"/>
      <c r="CK1152" s="8"/>
      <c r="CL1152" s="8"/>
      <c r="CM1152" s="8"/>
      <c r="CN1152" s="8"/>
      <c r="CO1152" s="8"/>
      <c r="CP1152" s="8"/>
      <c r="CQ1152" s="8"/>
      <c r="CR1152" s="8"/>
      <c r="CS1152" s="8"/>
      <c r="CT1152" s="8"/>
      <c r="CU1152" s="8"/>
      <c r="CV1152" s="8"/>
      <c r="CW1152" s="8"/>
      <c r="CX1152" s="8"/>
      <c r="CY1152" s="8"/>
      <c r="CZ1152" s="8"/>
      <c r="DA1152" s="8"/>
      <c r="DB1152" s="8"/>
      <c r="DC1152" s="8"/>
      <c r="DD1152" s="8"/>
      <c r="DE1152" s="8"/>
      <c r="DF1152" s="8"/>
      <c r="DG1152" s="8"/>
      <c r="DH1152" s="8"/>
      <c r="DI1152" s="8"/>
      <c r="DJ1152" s="8"/>
      <c r="DK1152" s="8"/>
      <c r="DL1152" s="8"/>
      <c r="DM1152" s="8"/>
      <c r="DN1152" s="8"/>
      <c r="DO1152" s="8"/>
      <c r="DP1152" s="8"/>
      <c r="DQ1152" s="8"/>
      <c r="DR1152" s="8"/>
      <c r="DS1152" s="8"/>
      <c r="DT1152" s="8"/>
      <c r="DU1152" s="8"/>
      <c r="DV1152" s="8"/>
      <c r="DW1152" s="8"/>
      <c r="DX1152" s="8"/>
      <c r="DY1152" s="8"/>
      <c r="DZ1152" s="8"/>
      <c r="EA1152" s="8"/>
      <c r="EB1152" s="8"/>
      <c r="EC1152" s="8"/>
      <c r="ED1152" s="8"/>
      <c r="EE1152" s="8"/>
      <c r="EF1152" s="8"/>
      <c r="EG1152" s="8"/>
      <c r="EH1152" s="8"/>
      <c r="EI1152" s="8"/>
      <c r="EJ1152" s="8"/>
      <c r="EK1152" s="8"/>
      <c r="EL1152" s="8"/>
      <c r="EM1152" s="8"/>
      <c r="EN1152" s="8"/>
      <c r="EO1152" s="8"/>
      <c r="EP1152" s="8"/>
      <c r="EQ1152" s="8"/>
      <c r="ER1152" s="8"/>
      <c r="ES1152" s="8"/>
      <c r="ET1152" s="8"/>
      <c r="EU1152" s="8"/>
      <c r="EV1152" s="8"/>
      <c r="EW1152" s="8"/>
      <c r="EX1152" s="8"/>
      <c r="EY1152" s="8"/>
      <c r="EZ1152" s="8"/>
      <c r="FA1152" s="8"/>
      <c r="FB1152" s="8"/>
      <c r="FC1152" s="8"/>
      <c r="FD1152" s="8"/>
      <c r="FE1152" s="8"/>
      <c r="FF1152" s="8"/>
      <c r="FG1152" s="8"/>
      <c r="FH1152" s="8"/>
      <c r="FI1152" s="8"/>
      <c r="FJ1152" s="8"/>
      <c r="FK1152" s="8"/>
      <c r="FL1152" s="8"/>
      <c r="FM1152" s="8"/>
      <c r="FN1152" s="8"/>
      <c r="FO1152" s="8"/>
      <c r="FP1152" s="8"/>
      <c r="FQ1152" s="8"/>
      <c r="FR1152" s="8"/>
      <c r="FS1152" s="8"/>
      <c r="FT1152" s="8"/>
      <c r="FU1152" s="8"/>
      <c r="FV1152" s="8"/>
      <c r="FW1152" s="8"/>
      <c r="FX1152" s="8"/>
      <c r="FY1152" s="8"/>
      <c r="FZ1152" s="8"/>
      <c r="GA1152" s="8"/>
      <c r="GB1152" s="8"/>
      <c r="GC1152" s="8"/>
      <c r="GD1152" s="8"/>
      <c r="GE1152" s="8"/>
      <c r="GF1152" s="8"/>
      <c r="GG1152" s="8"/>
      <c r="GH1152" s="8"/>
      <c r="GI1152" s="8"/>
      <c r="GJ1152" s="8"/>
      <c r="GK1152" s="8"/>
      <c r="GL1152" s="8"/>
      <c r="GM1152" s="8"/>
      <c r="GN1152" s="8"/>
      <c r="GO1152" s="8"/>
      <c r="GP1152" s="8"/>
      <c r="GQ1152" s="8"/>
      <c r="GR1152" s="8"/>
      <c r="GS1152" s="8"/>
      <c r="GT1152" s="8"/>
      <c r="GU1152" s="8"/>
      <c r="GV1152" s="8"/>
      <c r="GW1152" s="8"/>
      <c r="GX1152" s="8"/>
      <c r="GY1152" s="8"/>
      <c r="GZ1152" s="8"/>
      <c r="HA1152" s="8"/>
      <c r="HB1152" s="8"/>
      <c r="HC1152" s="8"/>
      <c r="HD1152" s="8"/>
      <c r="HE1152" s="8"/>
      <c r="HF1152" s="8"/>
      <c r="HG1152" s="8"/>
      <c r="HH1152" s="8"/>
      <c r="HI1152" s="8"/>
      <c r="HJ1152" s="8"/>
      <c r="HK1152" s="8"/>
      <c r="HL1152" s="8"/>
      <c r="HM1152" s="8"/>
      <c r="HN1152" s="8"/>
      <c r="HO1152" s="8"/>
      <c r="HP1152" s="8"/>
      <c r="HQ1152" s="8"/>
      <c r="HR1152" s="8"/>
      <c r="HS1152" s="8"/>
      <c r="HT1152" s="8"/>
      <c r="HU1152" s="8"/>
      <c r="HV1152" s="8"/>
      <c r="HW1152" s="8"/>
      <c r="HX1152" s="8"/>
      <c r="HY1152" s="8"/>
      <c r="HZ1152" s="8"/>
      <c r="IA1152" s="8"/>
      <c r="IB1152" s="8"/>
      <c r="IC1152" s="8"/>
      <c r="ID1152" s="8"/>
      <c r="IE1152" s="8"/>
      <c r="IF1152" s="8"/>
    </row>
    <row r="1153" spans="1:240" ht="30" customHeight="1">
      <c r="A1153" s="5">
        <v>1151</v>
      </c>
      <c r="B1153" s="5"/>
      <c r="C1153" s="5"/>
      <c r="D1153" s="5" t="s">
        <v>68</v>
      </c>
      <c r="E1153" s="5" t="s">
        <v>48</v>
      </c>
      <c r="F1153" s="5" t="s">
        <v>48</v>
      </c>
      <c r="G1153" s="5" t="s">
        <v>48</v>
      </c>
      <c r="H1153" s="15">
        <f>12880*0.454</f>
        <v>5847.52</v>
      </c>
      <c r="I1153" s="5" t="s">
        <v>13</v>
      </c>
      <c r="J1153" s="15">
        <f>(3*373)/4.4</f>
        <v>254.31818181818178</v>
      </c>
      <c r="K1153" s="15">
        <f t="shared" si="33"/>
        <v>5.5560000000000009</v>
      </c>
      <c r="L1153" s="5">
        <v>1311.8</v>
      </c>
      <c r="M1153" s="5">
        <f t="shared" si="32"/>
        <v>3.8800000000000026</v>
      </c>
      <c r="N1153" s="5"/>
      <c r="O1153" s="15">
        <f>75700*1.6978</f>
        <v>128523.45999999999</v>
      </c>
      <c r="P1153" s="5"/>
      <c r="Q1153" s="5"/>
      <c r="R1153" s="5">
        <v>2</v>
      </c>
      <c r="S1153" s="5"/>
      <c r="T1153" s="5"/>
      <c r="U1153" s="5"/>
      <c r="V1153" s="5">
        <f>10*0.7457*R1153</f>
        <v>14.914000000000001</v>
      </c>
      <c r="W1153" s="5"/>
      <c r="X1153" s="5"/>
      <c r="Y1153" s="5" t="s">
        <v>48</v>
      </c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16" t="s">
        <v>48</v>
      </c>
      <c r="AN1153" s="5"/>
      <c r="AO1153" s="8"/>
      <c r="AP1153" s="8"/>
      <c r="AQ1153" s="8"/>
      <c r="AR1153" s="8"/>
      <c r="AS1153" s="8"/>
      <c r="AT1153" s="8"/>
      <c r="AU1153" s="8"/>
      <c r="AV1153" s="8"/>
      <c r="AW1153" s="8"/>
      <c r="AX1153" s="8"/>
      <c r="AY1153" s="8"/>
      <c r="AZ1153" s="8"/>
      <c r="BA1153" s="8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8"/>
      <c r="BS1153" s="8"/>
      <c r="BT1153" s="8"/>
      <c r="BU1153" s="8"/>
      <c r="BV1153" s="8"/>
      <c r="BW1153" s="8"/>
      <c r="BX1153" s="8"/>
      <c r="BY1153" s="8"/>
      <c r="BZ1153" s="8"/>
      <c r="CA1153" s="8"/>
      <c r="CB1153" s="8"/>
      <c r="CC1153" s="8"/>
      <c r="CD1153" s="8"/>
      <c r="CE1153" s="8"/>
      <c r="CF1153" s="8"/>
      <c r="CG1153" s="8"/>
      <c r="CH1153" s="8"/>
      <c r="CI1153" s="8"/>
      <c r="CJ1153" s="8"/>
      <c r="CK1153" s="8"/>
      <c r="CL1153" s="8"/>
      <c r="CM1153" s="8"/>
      <c r="CN1153" s="8"/>
      <c r="CO1153" s="8"/>
      <c r="CP1153" s="8"/>
      <c r="CQ1153" s="8"/>
      <c r="CR1153" s="8"/>
      <c r="CS1153" s="8"/>
      <c r="CT1153" s="8"/>
      <c r="CU1153" s="8"/>
      <c r="CV1153" s="8"/>
      <c r="CW1153" s="8"/>
      <c r="CX1153" s="8"/>
      <c r="CY1153" s="8"/>
      <c r="CZ1153" s="8"/>
      <c r="DA1153" s="8"/>
      <c r="DB1153" s="8"/>
      <c r="DC1153" s="8"/>
      <c r="DD1153" s="8"/>
      <c r="DE1153" s="8"/>
      <c r="DF1153" s="8"/>
      <c r="DG1153" s="8"/>
      <c r="DH1153" s="8"/>
      <c r="DI1153" s="8"/>
      <c r="DJ1153" s="8"/>
      <c r="DK1153" s="8"/>
      <c r="DL1153" s="8"/>
      <c r="DM1153" s="8"/>
      <c r="DN1153" s="8"/>
      <c r="DO1153" s="8"/>
      <c r="DP1153" s="8"/>
      <c r="DQ1153" s="8"/>
      <c r="DR1153" s="8"/>
      <c r="DS1153" s="8"/>
      <c r="DT1153" s="8"/>
      <c r="DU1153" s="8"/>
      <c r="DV1153" s="8"/>
      <c r="DW1153" s="8"/>
      <c r="DX1153" s="8"/>
      <c r="DY1153" s="8"/>
      <c r="DZ1153" s="8"/>
      <c r="EA1153" s="8"/>
      <c r="EB1153" s="8"/>
      <c r="EC1153" s="8"/>
      <c r="ED1153" s="8"/>
      <c r="EE1153" s="8"/>
      <c r="EF1153" s="8"/>
      <c r="EG1153" s="8"/>
      <c r="EH1153" s="8"/>
      <c r="EI1153" s="8"/>
      <c r="EJ1153" s="8"/>
      <c r="EK1153" s="8"/>
      <c r="EL1153" s="8"/>
      <c r="EM1153" s="8"/>
      <c r="EN1153" s="8"/>
      <c r="EO1153" s="8"/>
      <c r="EP1153" s="8"/>
      <c r="EQ1153" s="8"/>
      <c r="ER1153" s="8"/>
      <c r="ES1153" s="8"/>
      <c r="ET1153" s="8"/>
      <c r="EU1153" s="8"/>
      <c r="EV1153" s="8"/>
      <c r="EW1153" s="8"/>
      <c r="EX1153" s="8"/>
      <c r="EY1153" s="8"/>
      <c r="EZ1153" s="8"/>
      <c r="FA1153" s="8"/>
      <c r="FB1153" s="8"/>
      <c r="FC1153" s="8"/>
      <c r="FD1153" s="8"/>
      <c r="FE1153" s="8"/>
      <c r="FF1153" s="8"/>
      <c r="FG1153" s="8"/>
      <c r="FH1153" s="8"/>
      <c r="FI1153" s="8"/>
      <c r="FJ1153" s="8"/>
      <c r="FK1153" s="8"/>
      <c r="FL1153" s="8"/>
      <c r="FM1153" s="8"/>
      <c r="FN1153" s="8"/>
      <c r="FO1153" s="8"/>
      <c r="FP1153" s="8"/>
      <c r="FQ1153" s="8"/>
      <c r="FR1153" s="8"/>
      <c r="FS1153" s="8"/>
      <c r="FT1153" s="8"/>
      <c r="FU1153" s="8"/>
      <c r="FV1153" s="8"/>
      <c r="FW1153" s="8"/>
      <c r="FX1153" s="8"/>
      <c r="FY1153" s="8"/>
      <c r="FZ1153" s="8"/>
      <c r="GA1153" s="8"/>
      <c r="GB1153" s="8"/>
      <c r="GC1153" s="8"/>
      <c r="GD1153" s="8"/>
      <c r="GE1153" s="8"/>
      <c r="GF1153" s="8"/>
      <c r="GG1153" s="8"/>
      <c r="GH1153" s="8"/>
      <c r="GI1153" s="8"/>
      <c r="GJ1153" s="8"/>
      <c r="GK1153" s="8"/>
      <c r="GL1153" s="8"/>
      <c r="GM1153" s="8"/>
      <c r="GN1153" s="8"/>
      <c r="GO1153" s="8"/>
      <c r="GP1153" s="8"/>
      <c r="GQ1153" s="8"/>
      <c r="GR1153" s="8"/>
      <c r="GS1153" s="8"/>
      <c r="GT1153" s="8"/>
      <c r="GU1153" s="8"/>
      <c r="GV1153" s="8"/>
      <c r="GW1153" s="8"/>
      <c r="GX1153" s="8"/>
      <c r="GY1153" s="8"/>
      <c r="GZ1153" s="8"/>
      <c r="HA1153" s="8"/>
      <c r="HB1153" s="8"/>
      <c r="HC1153" s="8"/>
      <c r="HD1153" s="8"/>
      <c r="HE1153" s="8"/>
      <c r="HF1153" s="8"/>
      <c r="HG1153" s="8"/>
      <c r="HH1153" s="8"/>
      <c r="HI1153" s="8"/>
      <c r="HJ1153" s="8"/>
      <c r="HK1153" s="8"/>
      <c r="HL1153" s="8"/>
      <c r="HM1153" s="8"/>
      <c r="HN1153" s="8"/>
      <c r="HO1153" s="8"/>
      <c r="HP1153" s="8"/>
      <c r="HQ1153" s="8"/>
      <c r="HR1153" s="8"/>
      <c r="HS1153" s="8"/>
      <c r="HT1153" s="8"/>
      <c r="HU1153" s="8"/>
      <c r="HV1153" s="8"/>
      <c r="HW1153" s="8"/>
      <c r="HX1153" s="8"/>
      <c r="HY1153" s="8"/>
      <c r="HZ1153" s="8"/>
      <c r="IA1153" s="8"/>
      <c r="IB1153" s="8"/>
      <c r="IC1153" s="8"/>
      <c r="ID1153" s="8"/>
      <c r="IE1153" s="8"/>
      <c r="IF1153" s="8"/>
    </row>
    <row r="1154" spans="1:240" ht="30" customHeight="1">
      <c r="A1154" s="5">
        <v>1152</v>
      </c>
      <c r="B1154" s="5"/>
      <c r="C1154" s="5"/>
      <c r="D1154" s="5" t="s">
        <v>68</v>
      </c>
      <c r="E1154" s="5" t="s">
        <v>48</v>
      </c>
      <c r="F1154" s="5" t="s">
        <v>48</v>
      </c>
      <c r="G1154" s="5" t="s">
        <v>48</v>
      </c>
      <c r="H1154" s="15">
        <f>12460*0.454</f>
        <v>5656.84</v>
      </c>
      <c r="I1154" s="5" t="s">
        <v>13</v>
      </c>
      <c r="J1154" s="15">
        <f>(3*393)/4.4</f>
        <v>267.95454545454544</v>
      </c>
      <c r="K1154" s="15">
        <f t="shared" si="33"/>
        <v>5.5560000000000009</v>
      </c>
      <c r="L1154" s="5">
        <v>1382.1</v>
      </c>
      <c r="M1154" s="5">
        <f t="shared" si="32"/>
        <v>3.8800000000000026</v>
      </c>
      <c r="N1154" s="5"/>
      <c r="O1154" s="15">
        <f>87500*1.6978</f>
        <v>148557.5</v>
      </c>
      <c r="P1154" s="5"/>
      <c r="Q1154" s="5"/>
      <c r="R1154" s="5">
        <v>2</v>
      </c>
      <c r="S1154" s="5"/>
      <c r="T1154" s="5"/>
      <c r="U1154" s="5"/>
      <c r="V1154" s="5">
        <f>15*0.7457*R1154</f>
        <v>22.371000000000002</v>
      </c>
      <c r="W1154" s="5"/>
      <c r="X1154" s="5"/>
      <c r="Y1154" s="5" t="s">
        <v>48</v>
      </c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16" t="s">
        <v>48</v>
      </c>
      <c r="AN1154" s="5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8"/>
      <c r="BS1154" s="8"/>
      <c r="BT1154" s="8"/>
      <c r="BU1154" s="8"/>
      <c r="BV1154" s="8"/>
      <c r="BW1154" s="8"/>
      <c r="BX1154" s="8"/>
      <c r="BY1154" s="8"/>
      <c r="BZ1154" s="8"/>
      <c r="CA1154" s="8"/>
      <c r="CB1154" s="8"/>
      <c r="CC1154" s="8"/>
      <c r="CD1154" s="8"/>
      <c r="CE1154" s="8"/>
      <c r="CF1154" s="8"/>
      <c r="CG1154" s="8"/>
      <c r="CH1154" s="8"/>
      <c r="CI1154" s="8"/>
      <c r="CJ1154" s="8"/>
      <c r="CK1154" s="8"/>
      <c r="CL1154" s="8"/>
      <c r="CM1154" s="8"/>
      <c r="CN1154" s="8"/>
      <c r="CO1154" s="8"/>
      <c r="CP1154" s="8"/>
      <c r="CQ1154" s="8"/>
      <c r="CR1154" s="8"/>
      <c r="CS1154" s="8"/>
      <c r="CT1154" s="8"/>
      <c r="CU1154" s="8"/>
      <c r="CV1154" s="8"/>
      <c r="CW1154" s="8"/>
      <c r="CX1154" s="8"/>
      <c r="CY1154" s="8"/>
      <c r="CZ1154" s="8"/>
      <c r="DA1154" s="8"/>
      <c r="DB1154" s="8"/>
      <c r="DC1154" s="8"/>
      <c r="DD1154" s="8"/>
      <c r="DE1154" s="8"/>
      <c r="DF1154" s="8"/>
      <c r="DG1154" s="8"/>
      <c r="DH1154" s="8"/>
      <c r="DI1154" s="8"/>
      <c r="DJ1154" s="8"/>
      <c r="DK1154" s="8"/>
      <c r="DL1154" s="8"/>
      <c r="DM1154" s="8"/>
      <c r="DN1154" s="8"/>
      <c r="DO1154" s="8"/>
      <c r="DP1154" s="8"/>
      <c r="DQ1154" s="8"/>
      <c r="DR1154" s="8"/>
      <c r="DS1154" s="8"/>
      <c r="DT1154" s="8"/>
      <c r="DU1154" s="8"/>
      <c r="DV1154" s="8"/>
      <c r="DW1154" s="8"/>
      <c r="DX1154" s="8"/>
      <c r="DY1154" s="8"/>
      <c r="DZ1154" s="8"/>
      <c r="EA1154" s="8"/>
      <c r="EB1154" s="8"/>
      <c r="EC1154" s="8"/>
      <c r="ED1154" s="8"/>
      <c r="EE1154" s="8"/>
      <c r="EF1154" s="8"/>
      <c r="EG1154" s="8"/>
      <c r="EH1154" s="8"/>
      <c r="EI1154" s="8"/>
      <c r="EJ1154" s="8"/>
      <c r="EK1154" s="8"/>
      <c r="EL1154" s="8"/>
      <c r="EM1154" s="8"/>
      <c r="EN1154" s="8"/>
      <c r="EO1154" s="8"/>
      <c r="EP1154" s="8"/>
      <c r="EQ1154" s="8"/>
      <c r="ER1154" s="8"/>
      <c r="ES1154" s="8"/>
      <c r="ET1154" s="8"/>
      <c r="EU1154" s="8"/>
      <c r="EV1154" s="8"/>
      <c r="EW1154" s="8"/>
      <c r="EX1154" s="8"/>
      <c r="EY1154" s="8"/>
      <c r="EZ1154" s="8"/>
      <c r="FA1154" s="8"/>
      <c r="FB1154" s="8"/>
      <c r="FC1154" s="8"/>
      <c r="FD1154" s="8"/>
      <c r="FE1154" s="8"/>
      <c r="FF1154" s="8"/>
      <c r="FG1154" s="8"/>
      <c r="FH1154" s="8"/>
      <c r="FI1154" s="8"/>
      <c r="FJ1154" s="8"/>
      <c r="FK1154" s="8"/>
      <c r="FL1154" s="8"/>
      <c r="FM1154" s="8"/>
      <c r="FN1154" s="8"/>
      <c r="FO1154" s="8"/>
      <c r="FP1154" s="8"/>
      <c r="FQ1154" s="8"/>
      <c r="FR1154" s="8"/>
      <c r="FS1154" s="8"/>
      <c r="FT1154" s="8"/>
      <c r="FU1154" s="8"/>
      <c r="FV1154" s="8"/>
      <c r="FW1154" s="8"/>
      <c r="FX1154" s="8"/>
      <c r="FY1154" s="8"/>
      <c r="FZ1154" s="8"/>
      <c r="GA1154" s="8"/>
      <c r="GB1154" s="8"/>
      <c r="GC1154" s="8"/>
      <c r="GD1154" s="8"/>
      <c r="GE1154" s="8"/>
      <c r="GF1154" s="8"/>
      <c r="GG1154" s="8"/>
      <c r="GH1154" s="8"/>
      <c r="GI1154" s="8"/>
      <c r="GJ1154" s="8"/>
      <c r="GK1154" s="8"/>
      <c r="GL1154" s="8"/>
      <c r="GM1154" s="8"/>
      <c r="GN1154" s="8"/>
      <c r="GO1154" s="8"/>
      <c r="GP1154" s="8"/>
      <c r="GQ1154" s="8"/>
      <c r="GR1154" s="8"/>
      <c r="GS1154" s="8"/>
      <c r="GT1154" s="8"/>
      <c r="GU1154" s="8"/>
      <c r="GV1154" s="8"/>
      <c r="GW1154" s="8"/>
      <c r="GX1154" s="8"/>
      <c r="GY1154" s="8"/>
      <c r="GZ1154" s="8"/>
      <c r="HA1154" s="8"/>
      <c r="HB1154" s="8"/>
      <c r="HC1154" s="8"/>
      <c r="HD1154" s="8"/>
      <c r="HE1154" s="8"/>
      <c r="HF1154" s="8"/>
      <c r="HG1154" s="8"/>
      <c r="HH1154" s="8"/>
      <c r="HI1154" s="8"/>
      <c r="HJ1154" s="8"/>
      <c r="HK1154" s="8"/>
      <c r="HL1154" s="8"/>
      <c r="HM1154" s="8"/>
      <c r="HN1154" s="8"/>
      <c r="HO1154" s="8"/>
      <c r="HP1154" s="8"/>
      <c r="HQ1154" s="8"/>
      <c r="HR1154" s="8"/>
      <c r="HS1154" s="8"/>
      <c r="HT1154" s="8"/>
      <c r="HU1154" s="8"/>
      <c r="HV1154" s="8"/>
      <c r="HW1154" s="8"/>
      <c r="HX1154" s="8"/>
      <c r="HY1154" s="8"/>
      <c r="HZ1154" s="8"/>
      <c r="IA1154" s="8"/>
      <c r="IB1154" s="8"/>
      <c r="IC1154" s="8"/>
      <c r="ID1154" s="8"/>
      <c r="IE1154" s="8"/>
      <c r="IF1154" s="8"/>
    </row>
    <row r="1155" spans="1:240" ht="30" customHeight="1">
      <c r="A1155" s="5">
        <v>1153</v>
      </c>
      <c r="B1155" s="5"/>
      <c r="C1155" s="5"/>
      <c r="D1155" s="5" t="s">
        <v>68</v>
      </c>
      <c r="E1155" s="5" t="s">
        <v>48</v>
      </c>
      <c r="F1155" s="5" t="s">
        <v>48</v>
      </c>
      <c r="G1155" s="5" t="s">
        <v>48</v>
      </c>
      <c r="H1155" s="15">
        <f>13000*0.454</f>
        <v>5902</v>
      </c>
      <c r="I1155" s="5" t="s">
        <v>13</v>
      </c>
      <c r="J1155" s="15">
        <f>(3*414)/4.4</f>
        <v>282.27272727272725</v>
      </c>
      <c r="K1155" s="15">
        <f t="shared" si="33"/>
        <v>5.5560000000000009</v>
      </c>
      <c r="L1155" s="5">
        <v>1456</v>
      </c>
      <c r="M1155" s="5">
        <f t="shared" si="32"/>
        <v>3.8800000000000026</v>
      </c>
      <c r="N1155" s="5"/>
      <c r="O1155" s="15">
        <f>86000*1.6978</f>
        <v>146010.79999999999</v>
      </c>
      <c r="P1155" s="5"/>
      <c r="Q1155" s="5"/>
      <c r="R1155" s="5">
        <v>2</v>
      </c>
      <c r="S1155" s="5"/>
      <c r="T1155" s="5"/>
      <c r="U1155" s="5"/>
      <c r="V1155" s="5">
        <f>15*0.7457*R1155</f>
        <v>22.371000000000002</v>
      </c>
      <c r="W1155" s="5"/>
      <c r="X1155" s="5"/>
      <c r="Y1155" s="5" t="s">
        <v>48</v>
      </c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16" t="s">
        <v>48</v>
      </c>
      <c r="AN1155" s="5"/>
      <c r="AO1155" s="8"/>
      <c r="AP1155" s="8"/>
      <c r="AQ1155" s="8"/>
      <c r="AR1155" s="8"/>
      <c r="AS1155" s="8"/>
      <c r="AT1155" s="8"/>
      <c r="AU1155" s="8"/>
      <c r="AV1155" s="8"/>
      <c r="AW1155" s="8"/>
      <c r="AX1155" s="8"/>
      <c r="AY1155" s="8"/>
      <c r="AZ1155" s="8"/>
      <c r="BA1155" s="8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8"/>
      <c r="BS1155" s="8"/>
      <c r="BT1155" s="8"/>
      <c r="BU1155" s="8"/>
      <c r="BV1155" s="8"/>
      <c r="BW1155" s="8"/>
      <c r="BX1155" s="8"/>
      <c r="BY1155" s="8"/>
      <c r="BZ1155" s="8"/>
      <c r="CA1155" s="8"/>
      <c r="CB1155" s="8"/>
      <c r="CC1155" s="8"/>
      <c r="CD1155" s="8"/>
      <c r="CE1155" s="8"/>
      <c r="CF1155" s="8"/>
      <c r="CG1155" s="8"/>
      <c r="CH1155" s="8"/>
      <c r="CI1155" s="8"/>
      <c r="CJ1155" s="8"/>
      <c r="CK1155" s="8"/>
      <c r="CL1155" s="8"/>
      <c r="CM1155" s="8"/>
      <c r="CN1155" s="8"/>
      <c r="CO1155" s="8"/>
      <c r="CP1155" s="8"/>
      <c r="CQ1155" s="8"/>
      <c r="CR1155" s="8"/>
      <c r="CS1155" s="8"/>
      <c r="CT1155" s="8"/>
      <c r="CU1155" s="8"/>
      <c r="CV1155" s="8"/>
      <c r="CW1155" s="8"/>
      <c r="CX1155" s="8"/>
      <c r="CY1155" s="8"/>
      <c r="CZ1155" s="8"/>
      <c r="DA1155" s="8"/>
      <c r="DB1155" s="8"/>
      <c r="DC1155" s="8"/>
      <c r="DD1155" s="8"/>
      <c r="DE1155" s="8"/>
      <c r="DF1155" s="8"/>
      <c r="DG1155" s="8"/>
      <c r="DH1155" s="8"/>
      <c r="DI1155" s="8"/>
      <c r="DJ1155" s="8"/>
      <c r="DK1155" s="8"/>
      <c r="DL1155" s="8"/>
      <c r="DM1155" s="8"/>
      <c r="DN1155" s="8"/>
      <c r="DO1155" s="8"/>
      <c r="DP1155" s="8"/>
      <c r="DQ1155" s="8"/>
      <c r="DR1155" s="8"/>
      <c r="DS1155" s="8"/>
      <c r="DT1155" s="8"/>
      <c r="DU1155" s="8"/>
      <c r="DV1155" s="8"/>
      <c r="DW1155" s="8"/>
      <c r="DX1155" s="8"/>
      <c r="DY1155" s="8"/>
      <c r="DZ1155" s="8"/>
      <c r="EA1155" s="8"/>
      <c r="EB1155" s="8"/>
      <c r="EC1155" s="8"/>
      <c r="ED1155" s="8"/>
      <c r="EE1155" s="8"/>
      <c r="EF1155" s="8"/>
      <c r="EG1155" s="8"/>
      <c r="EH1155" s="8"/>
      <c r="EI1155" s="8"/>
      <c r="EJ1155" s="8"/>
      <c r="EK1155" s="8"/>
      <c r="EL1155" s="8"/>
      <c r="EM1155" s="8"/>
      <c r="EN1155" s="8"/>
      <c r="EO1155" s="8"/>
      <c r="EP1155" s="8"/>
      <c r="EQ1155" s="8"/>
      <c r="ER1155" s="8"/>
      <c r="ES1155" s="8"/>
      <c r="ET1155" s="8"/>
      <c r="EU1155" s="8"/>
      <c r="EV1155" s="8"/>
      <c r="EW1155" s="8"/>
      <c r="EX1155" s="8"/>
      <c r="EY1155" s="8"/>
      <c r="EZ1155" s="8"/>
      <c r="FA1155" s="8"/>
      <c r="FB1155" s="8"/>
      <c r="FC1155" s="8"/>
      <c r="FD1155" s="8"/>
      <c r="FE1155" s="8"/>
      <c r="FF1155" s="8"/>
      <c r="FG1155" s="8"/>
      <c r="FH1155" s="8"/>
      <c r="FI1155" s="8"/>
      <c r="FJ1155" s="8"/>
      <c r="FK1155" s="8"/>
      <c r="FL1155" s="8"/>
      <c r="FM1155" s="8"/>
      <c r="FN1155" s="8"/>
      <c r="FO1155" s="8"/>
      <c r="FP1155" s="8"/>
      <c r="FQ1155" s="8"/>
      <c r="FR1155" s="8"/>
      <c r="FS1155" s="8"/>
      <c r="FT1155" s="8"/>
      <c r="FU1155" s="8"/>
      <c r="FV1155" s="8"/>
      <c r="FW1155" s="8"/>
      <c r="FX1155" s="8"/>
      <c r="FY1155" s="8"/>
      <c r="FZ1155" s="8"/>
      <c r="GA1155" s="8"/>
      <c r="GB1155" s="8"/>
      <c r="GC1155" s="8"/>
      <c r="GD1155" s="8"/>
      <c r="GE1155" s="8"/>
      <c r="GF1155" s="8"/>
      <c r="GG1155" s="8"/>
      <c r="GH1155" s="8"/>
      <c r="GI1155" s="8"/>
      <c r="GJ1155" s="8"/>
      <c r="GK1155" s="8"/>
      <c r="GL1155" s="8"/>
      <c r="GM1155" s="8"/>
      <c r="GN1155" s="8"/>
      <c r="GO1155" s="8"/>
      <c r="GP1155" s="8"/>
      <c r="GQ1155" s="8"/>
      <c r="GR1155" s="8"/>
      <c r="GS1155" s="8"/>
      <c r="GT1155" s="8"/>
      <c r="GU1155" s="8"/>
      <c r="GV1155" s="8"/>
      <c r="GW1155" s="8"/>
      <c r="GX1155" s="8"/>
      <c r="GY1155" s="8"/>
      <c r="GZ1155" s="8"/>
      <c r="HA1155" s="8"/>
      <c r="HB1155" s="8"/>
      <c r="HC1155" s="8"/>
      <c r="HD1155" s="8"/>
      <c r="HE1155" s="8"/>
      <c r="HF1155" s="8"/>
      <c r="HG1155" s="8"/>
      <c r="HH1155" s="8"/>
      <c r="HI1155" s="8"/>
      <c r="HJ1155" s="8"/>
      <c r="HK1155" s="8"/>
      <c r="HL1155" s="8"/>
      <c r="HM1155" s="8"/>
      <c r="HN1155" s="8"/>
      <c r="HO1155" s="8"/>
      <c r="HP1155" s="8"/>
      <c r="HQ1155" s="8"/>
      <c r="HR1155" s="8"/>
      <c r="HS1155" s="8"/>
      <c r="HT1155" s="8"/>
      <c r="HU1155" s="8"/>
      <c r="HV1155" s="8"/>
      <c r="HW1155" s="8"/>
      <c r="HX1155" s="8"/>
      <c r="HY1155" s="8"/>
      <c r="HZ1155" s="8"/>
      <c r="IA1155" s="8"/>
      <c r="IB1155" s="8"/>
      <c r="IC1155" s="8"/>
      <c r="ID1155" s="8"/>
      <c r="IE1155" s="8"/>
      <c r="IF1155" s="8"/>
    </row>
    <row r="1156" spans="1:240" ht="30" customHeight="1">
      <c r="A1156" s="5">
        <v>1154</v>
      </c>
      <c r="B1156" s="5"/>
      <c r="C1156" s="5"/>
      <c r="D1156" s="5" t="s">
        <v>68</v>
      </c>
      <c r="E1156" s="5" t="s">
        <v>48</v>
      </c>
      <c r="F1156" s="5" t="s">
        <v>48</v>
      </c>
      <c r="G1156" s="5" t="s">
        <v>48</v>
      </c>
      <c r="H1156" s="15">
        <f>14260*0.454</f>
        <v>6474.04</v>
      </c>
      <c r="I1156" s="5" t="s">
        <v>13</v>
      </c>
      <c r="J1156" s="15">
        <f>(3*362)/4.4</f>
        <v>246.81818181818178</v>
      </c>
      <c r="K1156" s="15">
        <f t="shared" si="33"/>
        <v>5.5560000000000009</v>
      </c>
      <c r="L1156" s="5">
        <v>1273.0999999999999</v>
      </c>
      <c r="M1156" s="5">
        <f t="shared" si="32"/>
        <v>3.8800000000000026</v>
      </c>
      <c r="N1156" s="5"/>
      <c r="O1156" s="15">
        <f>80200*1.6978</f>
        <v>136163.56</v>
      </c>
      <c r="P1156" s="5"/>
      <c r="Q1156" s="5"/>
      <c r="R1156" s="5">
        <v>2</v>
      </c>
      <c r="S1156" s="5"/>
      <c r="T1156" s="5"/>
      <c r="U1156" s="5"/>
      <c r="V1156" s="5">
        <f>7.5*0.7457*R1156</f>
        <v>11.185500000000001</v>
      </c>
      <c r="W1156" s="5"/>
      <c r="X1156" s="5"/>
      <c r="Y1156" s="5" t="s">
        <v>48</v>
      </c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16" t="s">
        <v>48</v>
      </c>
      <c r="AN1156" s="5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8"/>
      <c r="BS1156" s="8"/>
      <c r="BT1156" s="8"/>
      <c r="BU1156" s="8"/>
      <c r="BV1156" s="8"/>
      <c r="BW1156" s="8"/>
      <c r="BX1156" s="8"/>
      <c r="BY1156" s="8"/>
      <c r="BZ1156" s="8"/>
      <c r="CA1156" s="8"/>
      <c r="CB1156" s="8"/>
      <c r="CC1156" s="8"/>
      <c r="CD1156" s="8"/>
      <c r="CE1156" s="8"/>
      <c r="CF1156" s="8"/>
      <c r="CG1156" s="8"/>
      <c r="CH1156" s="8"/>
      <c r="CI1156" s="8"/>
      <c r="CJ1156" s="8"/>
      <c r="CK1156" s="8"/>
      <c r="CL1156" s="8"/>
      <c r="CM1156" s="8"/>
      <c r="CN1156" s="8"/>
      <c r="CO1156" s="8"/>
      <c r="CP1156" s="8"/>
      <c r="CQ1156" s="8"/>
      <c r="CR1156" s="8"/>
      <c r="CS1156" s="8"/>
      <c r="CT1156" s="8"/>
      <c r="CU1156" s="8"/>
      <c r="CV1156" s="8"/>
      <c r="CW1156" s="8"/>
      <c r="CX1156" s="8"/>
      <c r="CY1156" s="8"/>
      <c r="CZ1156" s="8"/>
      <c r="DA1156" s="8"/>
      <c r="DB1156" s="8"/>
      <c r="DC1156" s="8"/>
      <c r="DD1156" s="8"/>
      <c r="DE1156" s="8"/>
      <c r="DF1156" s="8"/>
      <c r="DG1156" s="8"/>
      <c r="DH1156" s="8"/>
      <c r="DI1156" s="8"/>
      <c r="DJ1156" s="8"/>
      <c r="DK1156" s="8"/>
      <c r="DL1156" s="8"/>
      <c r="DM1156" s="8"/>
      <c r="DN1156" s="8"/>
      <c r="DO1156" s="8"/>
      <c r="DP1156" s="8"/>
      <c r="DQ1156" s="8"/>
      <c r="DR1156" s="8"/>
      <c r="DS1156" s="8"/>
      <c r="DT1156" s="8"/>
      <c r="DU1156" s="8"/>
      <c r="DV1156" s="8"/>
      <c r="DW1156" s="8"/>
      <c r="DX1156" s="8"/>
      <c r="DY1156" s="8"/>
      <c r="DZ1156" s="8"/>
      <c r="EA1156" s="8"/>
      <c r="EB1156" s="8"/>
      <c r="EC1156" s="8"/>
      <c r="ED1156" s="8"/>
      <c r="EE1156" s="8"/>
      <c r="EF1156" s="8"/>
      <c r="EG1156" s="8"/>
      <c r="EH1156" s="8"/>
      <c r="EI1156" s="8"/>
      <c r="EJ1156" s="8"/>
      <c r="EK1156" s="8"/>
      <c r="EL1156" s="8"/>
      <c r="EM1156" s="8"/>
      <c r="EN1156" s="8"/>
      <c r="EO1156" s="8"/>
      <c r="EP1156" s="8"/>
      <c r="EQ1156" s="8"/>
      <c r="ER1156" s="8"/>
      <c r="ES1156" s="8"/>
      <c r="ET1156" s="8"/>
      <c r="EU1156" s="8"/>
      <c r="EV1156" s="8"/>
      <c r="EW1156" s="8"/>
      <c r="EX1156" s="8"/>
      <c r="EY1156" s="8"/>
      <c r="EZ1156" s="8"/>
      <c r="FA1156" s="8"/>
      <c r="FB1156" s="8"/>
      <c r="FC1156" s="8"/>
      <c r="FD1156" s="8"/>
      <c r="FE1156" s="8"/>
      <c r="FF1156" s="8"/>
      <c r="FG1156" s="8"/>
      <c r="FH1156" s="8"/>
      <c r="FI1156" s="8"/>
      <c r="FJ1156" s="8"/>
      <c r="FK1156" s="8"/>
      <c r="FL1156" s="8"/>
      <c r="FM1156" s="8"/>
      <c r="FN1156" s="8"/>
      <c r="FO1156" s="8"/>
      <c r="FP1156" s="8"/>
      <c r="FQ1156" s="8"/>
      <c r="FR1156" s="8"/>
      <c r="FS1156" s="8"/>
      <c r="FT1156" s="8"/>
      <c r="FU1156" s="8"/>
      <c r="FV1156" s="8"/>
      <c r="FW1156" s="8"/>
      <c r="FX1156" s="8"/>
      <c r="FY1156" s="8"/>
      <c r="FZ1156" s="8"/>
      <c r="GA1156" s="8"/>
      <c r="GB1156" s="8"/>
      <c r="GC1156" s="8"/>
      <c r="GD1156" s="8"/>
      <c r="GE1156" s="8"/>
      <c r="GF1156" s="8"/>
      <c r="GG1156" s="8"/>
      <c r="GH1156" s="8"/>
      <c r="GI1156" s="8"/>
      <c r="GJ1156" s="8"/>
      <c r="GK1156" s="8"/>
      <c r="GL1156" s="8"/>
      <c r="GM1156" s="8"/>
      <c r="GN1156" s="8"/>
      <c r="GO1156" s="8"/>
      <c r="GP1156" s="8"/>
      <c r="GQ1156" s="8"/>
      <c r="GR1156" s="8"/>
      <c r="GS1156" s="8"/>
      <c r="GT1156" s="8"/>
      <c r="GU1156" s="8"/>
      <c r="GV1156" s="8"/>
      <c r="GW1156" s="8"/>
      <c r="GX1156" s="8"/>
      <c r="GY1156" s="8"/>
      <c r="GZ1156" s="8"/>
      <c r="HA1156" s="8"/>
      <c r="HB1156" s="8"/>
      <c r="HC1156" s="8"/>
      <c r="HD1156" s="8"/>
      <c r="HE1156" s="8"/>
      <c r="HF1156" s="8"/>
      <c r="HG1156" s="8"/>
      <c r="HH1156" s="8"/>
      <c r="HI1156" s="8"/>
      <c r="HJ1156" s="8"/>
      <c r="HK1156" s="8"/>
      <c r="HL1156" s="8"/>
      <c r="HM1156" s="8"/>
      <c r="HN1156" s="8"/>
      <c r="HO1156" s="8"/>
      <c r="HP1156" s="8"/>
      <c r="HQ1156" s="8"/>
      <c r="HR1156" s="8"/>
      <c r="HS1156" s="8"/>
      <c r="HT1156" s="8"/>
      <c r="HU1156" s="8"/>
      <c r="HV1156" s="8"/>
      <c r="HW1156" s="8"/>
      <c r="HX1156" s="8"/>
      <c r="HY1156" s="8"/>
      <c r="HZ1156" s="8"/>
      <c r="IA1156" s="8"/>
      <c r="IB1156" s="8"/>
      <c r="IC1156" s="8"/>
      <c r="ID1156" s="8"/>
      <c r="IE1156" s="8"/>
      <c r="IF1156" s="8"/>
    </row>
    <row r="1157" spans="1:240" ht="30" customHeight="1">
      <c r="A1157" s="5">
        <v>1155</v>
      </c>
      <c r="B1157" s="5"/>
      <c r="C1157" s="5"/>
      <c r="D1157" s="5" t="s">
        <v>68</v>
      </c>
      <c r="E1157" s="5" t="s">
        <v>48</v>
      </c>
      <c r="F1157" s="5" t="s">
        <v>48</v>
      </c>
      <c r="G1157" s="5" t="s">
        <v>48</v>
      </c>
      <c r="H1157" s="15">
        <f>14320*0.454</f>
        <v>6501.2800000000007</v>
      </c>
      <c r="I1157" s="5" t="s">
        <v>13</v>
      </c>
      <c r="J1157" s="15">
        <f>(3*399)/4.4</f>
        <v>272.0454545454545</v>
      </c>
      <c r="K1157" s="15">
        <f t="shared" si="33"/>
        <v>5.5560000000000009</v>
      </c>
      <c r="L1157" s="5">
        <v>1403.2</v>
      </c>
      <c r="M1157" s="5">
        <f t="shared" si="32"/>
        <v>3.8800000000000026</v>
      </c>
      <c r="N1157" s="5"/>
      <c r="O1157" s="15">
        <f>87800*1.6978</f>
        <v>149066.84</v>
      </c>
      <c r="P1157" s="5"/>
      <c r="Q1157" s="5"/>
      <c r="R1157" s="5">
        <v>2</v>
      </c>
      <c r="S1157" s="5"/>
      <c r="T1157" s="5"/>
      <c r="U1157" s="5"/>
      <c r="V1157" s="5">
        <f>10*0.7457*R1157</f>
        <v>14.914000000000001</v>
      </c>
      <c r="W1157" s="5"/>
      <c r="X1157" s="5"/>
      <c r="Y1157" s="5" t="s">
        <v>48</v>
      </c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16" t="s">
        <v>48</v>
      </c>
      <c r="AN1157" s="5"/>
      <c r="AO1157" s="8"/>
      <c r="AP1157" s="8"/>
      <c r="AQ1157" s="8"/>
      <c r="AR1157" s="8"/>
      <c r="AS1157" s="8"/>
      <c r="AT1157" s="8"/>
      <c r="AU1157" s="8"/>
      <c r="AV1157" s="8"/>
      <c r="AW1157" s="8"/>
      <c r="AX1157" s="8"/>
      <c r="AY1157" s="8"/>
      <c r="AZ1157" s="8"/>
      <c r="BA1157" s="8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8"/>
      <c r="BS1157" s="8"/>
      <c r="BT1157" s="8"/>
      <c r="BU1157" s="8"/>
      <c r="BV1157" s="8"/>
      <c r="BW1157" s="8"/>
      <c r="BX1157" s="8"/>
      <c r="BY1157" s="8"/>
      <c r="BZ1157" s="8"/>
      <c r="CA1157" s="8"/>
      <c r="CB1157" s="8"/>
      <c r="CC1157" s="8"/>
      <c r="CD1157" s="8"/>
      <c r="CE1157" s="8"/>
      <c r="CF1157" s="8"/>
      <c r="CG1157" s="8"/>
      <c r="CH1157" s="8"/>
      <c r="CI1157" s="8"/>
      <c r="CJ1157" s="8"/>
      <c r="CK1157" s="8"/>
      <c r="CL1157" s="8"/>
      <c r="CM1157" s="8"/>
      <c r="CN1157" s="8"/>
      <c r="CO1157" s="8"/>
      <c r="CP1157" s="8"/>
      <c r="CQ1157" s="8"/>
      <c r="CR1157" s="8"/>
      <c r="CS1157" s="8"/>
      <c r="CT1157" s="8"/>
      <c r="CU1157" s="8"/>
      <c r="CV1157" s="8"/>
      <c r="CW1157" s="8"/>
      <c r="CX1157" s="8"/>
      <c r="CY1157" s="8"/>
      <c r="CZ1157" s="8"/>
      <c r="DA1157" s="8"/>
      <c r="DB1157" s="8"/>
      <c r="DC1157" s="8"/>
      <c r="DD1157" s="8"/>
      <c r="DE1157" s="8"/>
      <c r="DF1157" s="8"/>
      <c r="DG1157" s="8"/>
      <c r="DH1157" s="8"/>
      <c r="DI1157" s="8"/>
      <c r="DJ1157" s="8"/>
      <c r="DK1157" s="8"/>
      <c r="DL1157" s="8"/>
      <c r="DM1157" s="8"/>
      <c r="DN1157" s="8"/>
      <c r="DO1157" s="8"/>
      <c r="DP1157" s="8"/>
      <c r="DQ1157" s="8"/>
      <c r="DR1157" s="8"/>
      <c r="DS1157" s="8"/>
      <c r="DT1157" s="8"/>
      <c r="DU1157" s="8"/>
      <c r="DV1157" s="8"/>
      <c r="DW1157" s="8"/>
      <c r="DX1157" s="8"/>
      <c r="DY1157" s="8"/>
      <c r="DZ1157" s="8"/>
      <c r="EA1157" s="8"/>
      <c r="EB1157" s="8"/>
      <c r="EC1157" s="8"/>
      <c r="ED1157" s="8"/>
      <c r="EE1157" s="8"/>
      <c r="EF1157" s="8"/>
      <c r="EG1157" s="8"/>
      <c r="EH1157" s="8"/>
      <c r="EI1157" s="8"/>
      <c r="EJ1157" s="8"/>
      <c r="EK1157" s="8"/>
      <c r="EL1157" s="8"/>
      <c r="EM1157" s="8"/>
      <c r="EN1157" s="8"/>
      <c r="EO1157" s="8"/>
      <c r="EP1157" s="8"/>
      <c r="EQ1157" s="8"/>
      <c r="ER1157" s="8"/>
      <c r="ES1157" s="8"/>
      <c r="ET1157" s="8"/>
      <c r="EU1157" s="8"/>
      <c r="EV1157" s="8"/>
      <c r="EW1157" s="8"/>
      <c r="EX1157" s="8"/>
      <c r="EY1157" s="8"/>
      <c r="EZ1157" s="8"/>
      <c r="FA1157" s="8"/>
      <c r="FB1157" s="8"/>
      <c r="FC1157" s="8"/>
      <c r="FD1157" s="8"/>
      <c r="FE1157" s="8"/>
      <c r="FF1157" s="8"/>
      <c r="FG1157" s="8"/>
      <c r="FH1157" s="8"/>
      <c r="FI1157" s="8"/>
      <c r="FJ1157" s="8"/>
      <c r="FK1157" s="8"/>
      <c r="FL1157" s="8"/>
      <c r="FM1157" s="8"/>
      <c r="FN1157" s="8"/>
      <c r="FO1157" s="8"/>
      <c r="FP1157" s="8"/>
      <c r="FQ1157" s="8"/>
      <c r="FR1157" s="8"/>
      <c r="FS1157" s="8"/>
      <c r="FT1157" s="8"/>
      <c r="FU1157" s="8"/>
      <c r="FV1157" s="8"/>
      <c r="FW1157" s="8"/>
      <c r="FX1157" s="8"/>
      <c r="FY1157" s="8"/>
      <c r="FZ1157" s="8"/>
      <c r="GA1157" s="8"/>
      <c r="GB1157" s="8"/>
      <c r="GC1157" s="8"/>
      <c r="GD1157" s="8"/>
      <c r="GE1157" s="8"/>
      <c r="GF1157" s="8"/>
      <c r="GG1157" s="8"/>
      <c r="GH1157" s="8"/>
      <c r="GI1157" s="8"/>
      <c r="GJ1157" s="8"/>
      <c r="GK1157" s="8"/>
      <c r="GL1157" s="8"/>
      <c r="GM1157" s="8"/>
      <c r="GN1157" s="8"/>
      <c r="GO1157" s="8"/>
      <c r="GP1157" s="8"/>
      <c r="GQ1157" s="8"/>
      <c r="GR1157" s="8"/>
      <c r="GS1157" s="8"/>
      <c r="GT1157" s="8"/>
      <c r="GU1157" s="8"/>
      <c r="GV1157" s="8"/>
      <c r="GW1157" s="8"/>
      <c r="GX1157" s="8"/>
      <c r="GY1157" s="8"/>
      <c r="GZ1157" s="8"/>
      <c r="HA1157" s="8"/>
      <c r="HB1157" s="8"/>
      <c r="HC1157" s="8"/>
      <c r="HD1157" s="8"/>
      <c r="HE1157" s="8"/>
      <c r="HF1157" s="8"/>
      <c r="HG1157" s="8"/>
      <c r="HH1157" s="8"/>
      <c r="HI1157" s="8"/>
      <c r="HJ1157" s="8"/>
      <c r="HK1157" s="8"/>
      <c r="HL1157" s="8"/>
      <c r="HM1157" s="8"/>
      <c r="HN1157" s="8"/>
      <c r="HO1157" s="8"/>
      <c r="HP1157" s="8"/>
      <c r="HQ1157" s="8"/>
      <c r="HR1157" s="8"/>
      <c r="HS1157" s="8"/>
      <c r="HT1157" s="8"/>
      <c r="HU1157" s="8"/>
      <c r="HV1157" s="8"/>
      <c r="HW1157" s="8"/>
      <c r="HX1157" s="8"/>
      <c r="HY1157" s="8"/>
      <c r="HZ1157" s="8"/>
      <c r="IA1157" s="8"/>
      <c r="IB1157" s="8"/>
      <c r="IC1157" s="8"/>
      <c r="ID1157" s="8"/>
      <c r="IE1157" s="8"/>
      <c r="IF1157" s="8"/>
    </row>
    <row r="1158" spans="1:240" ht="30" customHeight="1">
      <c r="A1158" s="5">
        <v>1156</v>
      </c>
      <c r="B1158" s="5"/>
      <c r="C1158" s="5"/>
      <c r="D1158" s="5" t="s">
        <v>68</v>
      </c>
      <c r="E1158" s="5" t="s">
        <v>48</v>
      </c>
      <c r="F1158" s="5" t="s">
        <v>48</v>
      </c>
      <c r="G1158" s="5" t="s">
        <v>48</v>
      </c>
      <c r="H1158" s="15">
        <f>13780*0.454</f>
        <v>6256.12</v>
      </c>
      <c r="I1158" s="5" t="s">
        <v>13</v>
      </c>
      <c r="J1158" s="15">
        <f>(3*356)/4.4</f>
        <v>242.72727272727272</v>
      </c>
      <c r="K1158" s="15">
        <f t="shared" si="33"/>
        <v>5.5560000000000009</v>
      </c>
      <c r="L1158" s="5">
        <v>1252</v>
      </c>
      <c r="M1158" s="5">
        <f t="shared" si="32"/>
        <v>3.8800000000000026</v>
      </c>
      <c r="N1158" s="5"/>
      <c r="O1158" s="15">
        <f>89300*1.6978</f>
        <v>151613.54</v>
      </c>
      <c r="P1158" s="5"/>
      <c r="Q1158" s="5"/>
      <c r="R1158" s="5">
        <v>2</v>
      </c>
      <c r="S1158" s="5"/>
      <c r="T1158" s="5"/>
      <c r="U1158" s="5"/>
      <c r="V1158" s="5">
        <f>10*0.7457*R1158</f>
        <v>14.914000000000001</v>
      </c>
      <c r="W1158" s="5"/>
      <c r="X1158" s="5"/>
      <c r="Y1158" s="5" t="s">
        <v>48</v>
      </c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16" t="s">
        <v>48</v>
      </c>
      <c r="AN1158" s="5"/>
      <c r="AO1158" s="8"/>
      <c r="AP1158" s="8"/>
      <c r="AQ1158" s="8"/>
      <c r="AR1158" s="8"/>
      <c r="AS1158" s="8"/>
      <c r="AT1158" s="8"/>
      <c r="AU1158" s="8"/>
      <c r="AV1158" s="8"/>
      <c r="AW1158" s="8"/>
      <c r="AX1158" s="8"/>
      <c r="AY1158" s="8"/>
      <c r="AZ1158" s="8"/>
      <c r="BA1158" s="8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8"/>
      <c r="BS1158" s="8"/>
      <c r="BT1158" s="8"/>
      <c r="BU1158" s="8"/>
      <c r="BV1158" s="8"/>
      <c r="BW1158" s="8"/>
      <c r="BX1158" s="8"/>
      <c r="BY1158" s="8"/>
      <c r="BZ1158" s="8"/>
      <c r="CA1158" s="8"/>
      <c r="CB1158" s="8"/>
      <c r="CC1158" s="8"/>
      <c r="CD1158" s="8"/>
      <c r="CE1158" s="8"/>
      <c r="CF1158" s="8"/>
      <c r="CG1158" s="8"/>
      <c r="CH1158" s="8"/>
      <c r="CI1158" s="8"/>
      <c r="CJ1158" s="8"/>
      <c r="CK1158" s="8"/>
      <c r="CL1158" s="8"/>
      <c r="CM1158" s="8"/>
      <c r="CN1158" s="8"/>
      <c r="CO1158" s="8"/>
      <c r="CP1158" s="8"/>
      <c r="CQ1158" s="8"/>
      <c r="CR1158" s="8"/>
      <c r="CS1158" s="8"/>
      <c r="CT1158" s="8"/>
      <c r="CU1158" s="8"/>
      <c r="CV1158" s="8"/>
      <c r="CW1158" s="8"/>
      <c r="CX1158" s="8"/>
      <c r="CY1158" s="8"/>
      <c r="CZ1158" s="8"/>
      <c r="DA1158" s="8"/>
      <c r="DB1158" s="8"/>
      <c r="DC1158" s="8"/>
      <c r="DD1158" s="8"/>
      <c r="DE1158" s="8"/>
      <c r="DF1158" s="8"/>
      <c r="DG1158" s="8"/>
      <c r="DH1158" s="8"/>
      <c r="DI1158" s="8"/>
      <c r="DJ1158" s="8"/>
      <c r="DK1158" s="8"/>
      <c r="DL1158" s="8"/>
      <c r="DM1158" s="8"/>
      <c r="DN1158" s="8"/>
      <c r="DO1158" s="8"/>
      <c r="DP1158" s="8"/>
      <c r="DQ1158" s="8"/>
      <c r="DR1158" s="8"/>
      <c r="DS1158" s="8"/>
      <c r="DT1158" s="8"/>
      <c r="DU1158" s="8"/>
      <c r="DV1158" s="8"/>
      <c r="DW1158" s="8"/>
      <c r="DX1158" s="8"/>
      <c r="DY1158" s="8"/>
      <c r="DZ1158" s="8"/>
      <c r="EA1158" s="8"/>
      <c r="EB1158" s="8"/>
      <c r="EC1158" s="8"/>
      <c r="ED1158" s="8"/>
      <c r="EE1158" s="8"/>
      <c r="EF1158" s="8"/>
      <c r="EG1158" s="8"/>
      <c r="EH1158" s="8"/>
      <c r="EI1158" s="8"/>
      <c r="EJ1158" s="8"/>
      <c r="EK1158" s="8"/>
      <c r="EL1158" s="8"/>
      <c r="EM1158" s="8"/>
      <c r="EN1158" s="8"/>
      <c r="EO1158" s="8"/>
      <c r="EP1158" s="8"/>
      <c r="EQ1158" s="8"/>
      <c r="ER1158" s="8"/>
      <c r="ES1158" s="8"/>
      <c r="ET1158" s="8"/>
      <c r="EU1158" s="8"/>
      <c r="EV1158" s="8"/>
      <c r="EW1158" s="8"/>
      <c r="EX1158" s="8"/>
      <c r="EY1158" s="8"/>
      <c r="EZ1158" s="8"/>
      <c r="FA1158" s="8"/>
      <c r="FB1158" s="8"/>
      <c r="FC1158" s="8"/>
      <c r="FD1158" s="8"/>
      <c r="FE1158" s="8"/>
      <c r="FF1158" s="8"/>
      <c r="FG1158" s="8"/>
      <c r="FH1158" s="8"/>
      <c r="FI1158" s="8"/>
      <c r="FJ1158" s="8"/>
      <c r="FK1158" s="8"/>
      <c r="FL1158" s="8"/>
      <c r="FM1158" s="8"/>
      <c r="FN1158" s="8"/>
      <c r="FO1158" s="8"/>
      <c r="FP1158" s="8"/>
      <c r="FQ1158" s="8"/>
      <c r="FR1158" s="8"/>
      <c r="FS1158" s="8"/>
      <c r="FT1158" s="8"/>
      <c r="FU1158" s="8"/>
      <c r="FV1158" s="8"/>
      <c r="FW1158" s="8"/>
      <c r="FX1158" s="8"/>
      <c r="FY1158" s="8"/>
      <c r="FZ1158" s="8"/>
      <c r="GA1158" s="8"/>
      <c r="GB1158" s="8"/>
      <c r="GC1158" s="8"/>
      <c r="GD1158" s="8"/>
      <c r="GE1158" s="8"/>
      <c r="GF1158" s="8"/>
      <c r="GG1158" s="8"/>
      <c r="GH1158" s="8"/>
      <c r="GI1158" s="8"/>
      <c r="GJ1158" s="8"/>
      <c r="GK1158" s="8"/>
      <c r="GL1158" s="8"/>
      <c r="GM1158" s="8"/>
      <c r="GN1158" s="8"/>
      <c r="GO1158" s="8"/>
      <c r="GP1158" s="8"/>
      <c r="GQ1158" s="8"/>
      <c r="GR1158" s="8"/>
      <c r="GS1158" s="8"/>
      <c r="GT1158" s="8"/>
      <c r="GU1158" s="8"/>
      <c r="GV1158" s="8"/>
      <c r="GW1158" s="8"/>
      <c r="GX1158" s="8"/>
      <c r="GY1158" s="8"/>
      <c r="GZ1158" s="8"/>
      <c r="HA1158" s="8"/>
      <c r="HB1158" s="8"/>
      <c r="HC1158" s="8"/>
      <c r="HD1158" s="8"/>
      <c r="HE1158" s="8"/>
      <c r="HF1158" s="8"/>
      <c r="HG1158" s="8"/>
      <c r="HH1158" s="8"/>
      <c r="HI1158" s="8"/>
      <c r="HJ1158" s="8"/>
      <c r="HK1158" s="8"/>
      <c r="HL1158" s="8"/>
      <c r="HM1158" s="8"/>
      <c r="HN1158" s="8"/>
      <c r="HO1158" s="8"/>
      <c r="HP1158" s="8"/>
      <c r="HQ1158" s="8"/>
      <c r="HR1158" s="8"/>
      <c r="HS1158" s="8"/>
      <c r="HT1158" s="8"/>
      <c r="HU1158" s="8"/>
      <c r="HV1158" s="8"/>
      <c r="HW1158" s="8"/>
      <c r="HX1158" s="8"/>
      <c r="HY1158" s="8"/>
      <c r="HZ1158" s="8"/>
      <c r="IA1158" s="8"/>
      <c r="IB1158" s="8"/>
      <c r="IC1158" s="8"/>
      <c r="ID1158" s="8"/>
      <c r="IE1158" s="8"/>
      <c r="IF1158" s="8"/>
    </row>
    <row r="1159" spans="1:240" ht="30" customHeight="1">
      <c r="A1159" s="5">
        <v>1157</v>
      </c>
      <c r="B1159" s="5"/>
      <c r="C1159" s="5"/>
      <c r="D1159" s="5" t="s">
        <v>68</v>
      </c>
      <c r="E1159" s="5" t="s">
        <v>48</v>
      </c>
      <c r="F1159" s="5" t="s">
        <v>48</v>
      </c>
      <c r="G1159" s="5" t="s">
        <v>48</v>
      </c>
      <c r="H1159" s="15">
        <f>13920*0.454</f>
        <v>6319.68</v>
      </c>
      <c r="I1159" s="5" t="s">
        <v>13</v>
      </c>
      <c r="J1159" s="15">
        <f>(3*416)/4.4</f>
        <v>283.63636363636363</v>
      </c>
      <c r="K1159" s="15">
        <f t="shared" si="33"/>
        <v>5.5560000000000009</v>
      </c>
      <c r="L1159" s="5">
        <v>1463</v>
      </c>
      <c r="M1159" s="5">
        <f t="shared" si="32"/>
        <v>3.8800000000000026</v>
      </c>
      <c r="N1159" s="5"/>
      <c r="O1159" s="15">
        <f>101500*1.6978</f>
        <v>172326.7</v>
      </c>
      <c r="P1159" s="5"/>
      <c r="Q1159" s="5"/>
      <c r="R1159" s="5">
        <v>2</v>
      </c>
      <c r="S1159" s="5"/>
      <c r="T1159" s="5"/>
      <c r="U1159" s="5"/>
      <c r="V1159" s="5">
        <f>15*0.7457*R1159</f>
        <v>22.371000000000002</v>
      </c>
      <c r="W1159" s="5"/>
      <c r="X1159" s="5"/>
      <c r="Y1159" s="5" t="s">
        <v>48</v>
      </c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16" t="s">
        <v>48</v>
      </c>
      <c r="AN1159" s="5"/>
      <c r="AO1159" s="8"/>
      <c r="AP1159" s="8"/>
      <c r="AQ1159" s="8"/>
      <c r="AR1159" s="8"/>
      <c r="AS1159" s="8"/>
      <c r="AT1159" s="8"/>
      <c r="AU1159" s="8"/>
      <c r="AV1159" s="8"/>
      <c r="AW1159" s="8"/>
      <c r="AX1159" s="8"/>
      <c r="AY1159" s="8"/>
      <c r="AZ1159" s="8"/>
      <c r="BA1159" s="8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8"/>
      <c r="BS1159" s="8"/>
      <c r="BT1159" s="8"/>
      <c r="BU1159" s="8"/>
      <c r="BV1159" s="8"/>
      <c r="BW1159" s="8"/>
      <c r="BX1159" s="8"/>
      <c r="BY1159" s="8"/>
      <c r="BZ1159" s="8"/>
      <c r="CA1159" s="8"/>
      <c r="CB1159" s="8"/>
      <c r="CC1159" s="8"/>
      <c r="CD1159" s="8"/>
      <c r="CE1159" s="8"/>
      <c r="CF1159" s="8"/>
      <c r="CG1159" s="8"/>
      <c r="CH1159" s="8"/>
      <c r="CI1159" s="8"/>
      <c r="CJ1159" s="8"/>
      <c r="CK1159" s="8"/>
      <c r="CL1159" s="8"/>
      <c r="CM1159" s="8"/>
      <c r="CN1159" s="8"/>
      <c r="CO1159" s="8"/>
      <c r="CP1159" s="8"/>
      <c r="CQ1159" s="8"/>
      <c r="CR1159" s="8"/>
      <c r="CS1159" s="8"/>
      <c r="CT1159" s="8"/>
      <c r="CU1159" s="8"/>
      <c r="CV1159" s="8"/>
      <c r="CW1159" s="8"/>
      <c r="CX1159" s="8"/>
      <c r="CY1159" s="8"/>
      <c r="CZ1159" s="8"/>
      <c r="DA1159" s="8"/>
      <c r="DB1159" s="8"/>
      <c r="DC1159" s="8"/>
      <c r="DD1159" s="8"/>
      <c r="DE1159" s="8"/>
      <c r="DF1159" s="8"/>
      <c r="DG1159" s="8"/>
      <c r="DH1159" s="8"/>
      <c r="DI1159" s="8"/>
      <c r="DJ1159" s="8"/>
      <c r="DK1159" s="8"/>
      <c r="DL1159" s="8"/>
      <c r="DM1159" s="8"/>
      <c r="DN1159" s="8"/>
      <c r="DO1159" s="8"/>
      <c r="DP1159" s="8"/>
      <c r="DQ1159" s="8"/>
      <c r="DR1159" s="8"/>
      <c r="DS1159" s="8"/>
      <c r="DT1159" s="8"/>
      <c r="DU1159" s="8"/>
      <c r="DV1159" s="8"/>
      <c r="DW1159" s="8"/>
      <c r="DX1159" s="8"/>
      <c r="DY1159" s="8"/>
      <c r="DZ1159" s="8"/>
      <c r="EA1159" s="8"/>
      <c r="EB1159" s="8"/>
      <c r="EC1159" s="8"/>
      <c r="ED1159" s="8"/>
      <c r="EE1159" s="8"/>
      <c r="EF1159" s="8"/>
      <c r="EG1159" s="8"/>
      <c r="EH1159" s="8"/>
      <c r="EI1159" s="8"/>
      <c r="EJ1159" s="8"/>
      <c r="EK1159" s="8"/>
      <c r="EL1159" s="8"/>
      <c r="EM1159" s="8"/>
      <c r="EN1159" s="8"/>
      <c r="EO1159" s="8"/>
      <c r="EP1159" s="8"/>
      <c r="EQ1159" s="8"/>
      <c r="ER1159" s="8"/>
      <c r="ES1159" s="8"/>
      <c r="ET1159" s="8"/>
      <c r="EU1159" s="8"/>
      <c r="EV1159" s="8"/>
      <c r="EW1159" s="8"/>
      <c r="EX1159" s="8"/>
      <c r="EY1159" s="8"/>
      <c r="EZ1159" s="8"/>
      <c r="FA1159" s="8"/>
      <c r="FB1159" s="8"/>
      <c r="FC1159" s="8"/>
      <c r="FD1159" s="8"/>
      <c r="FE1159" s="8"/>
      <c r="FF1159" s="8"/>
      <c r="FG1159" s="8"/>
      <c r="FH1159" s="8"/>
      <c r="FI1159" s="8"/>
      <c r="FJ1159" s="8"/>
      <c r="FK1159" s="8"/>
      <c r="FL1159" s="8"/>
      <c r="FM1159" s="8"/>
      <c r="FN1159" s="8"/>
      <c r="FO1159" s="8"/>
      <c r="FP1159" s="8"/>
      <c r="FQ1159" s="8"/>
      <c r="FR1159" s="8"/>
      <c r="FS1159" s="8"/>
      <c r="FT1159" s="8"/>
      <c r="FU1159" s="8"/>
      <c r="FV1159" s="8"/>
      <c r="FW1159" s="8"/>
      <c r="FX1159" s="8"/>
      <c r="FY1159" s="8"/>
      <c r="FZ1159" s="8"/>
      <c r="GA1159" s="8"/>
      <c r="GB1159" s="8"/>
      <c r="GC1159" s="8"/>
      <c r="GD1159" s="8"/>
      <c r="GE1159" s="8"/>
      <c r="GF1159" s="8"/>
      <c r="GG1159" s="8"/>
      <c r="GH1159" s="8"/>
      <c r="GI1159" s="8"/>
      <c r="GJ1159" s="8"/>
      <c r="GK1159" s="8"/>
      <c r="GL1159" s="8"/>
      <c r="GM1159" s="8"/>
      <c r="GN1159" s="8"/>
      <c r="GO1159" s="8"/>
      <c r="GP1159" s="8"/>
      <c r="GQ1159" s="8"/>
      <c r="GR1159" s="8"/>
      <c r="GS1159" s="8"/>
      <c r="GT1159" s="8"/>
      <c r="GU1159" s="8"/>
      <c r="GV1159" s="8"/>
      <c r="GW1159" s="8"/>
      <c r="GX1159" s="8"/>
      <c r="GY1159" s="8"/>
      <c r="GZ1159" s="8"/>
      <c r="HA1159" s="8"/>
      <c r="HB1159" s="8"/>
      <c r="HC1159" s="8"/>
      <c r="HD1159" s="8"/>
      <c r="HE1159" s="8"/>
      <c r="HF1159" s="8"/>
      <c r="HG1159" s="8"/>
      <c r="HH1159" s="8"/>
      <c r="HI1159" s="8"/>
      <c r="HJ1159" s="8"/>
      <c r="HK1159" s="8"/>
      <c r="HL1159" s="8"/>
      <c r="HM1159" s="8"/>
      <c r="HN1159" s="8"/>
      <c r="HO1159" s="8"/>
      <c r="HP1159" s="8"/>
      <c r="HQ1159" s="8"/>
      <c r="HR1159" s="8"/>
      <c r="HS1159" s="8"/>
      <c r="HT1159" s="8"/>
      <c r="HU1159" s="8"/>
      <c r="HV1159" s="8"/>
      <c r="HW1159" s="8"/>
      <c r="HX1159" s="8"/>
      <c r="HY1159" s="8"/>
      <c r="HZ1159" s="8"/>
      <c r="IA1159" s="8"/>
      <c r="IB1159" s="8"/>
      <c r="IC1159" s="8"/>
      <c r="ID1159" s="8"/>
      <c r="IE1159" s="8"/>
      <c r="IF1159" s="8"/>
    </row>
    <row r="1160" spans="1:240" ht="30" customHeight="1">
      <c r="A1160" s="5">
        <v>1158</v>
      </c>
      <c r="B1160" s="5"/>
      <c r="C1160" s="5"/>
      <c r="D1160" s="5" t="s">
        <v>68</v>
      </c>
      <c r="E1160" s="5" t="s">
        <v>48</v>
      </c>
      <c r="F1160" s="5" t="s">
        <v>48</v>
      </c>
      <c r="G1160" s="5" t="s">
        <v>48</v>
      </c>
      <c r="H1160" s="15">
        <f>14460*0.454</f>
        <v>6564.84</v>
      </c>
      <c r="I1160" s="5" t="s">
        <v>13</v>
      </c>
      <c r="J1160" s="15">
        <f>(3*464)/4.4</f>
        <v>316.36363636363632</v>
      </c>
      <c r="K1160" s="15">
        <f t="shared" si="33"/>
        <v>5.5560000000000009</v>
      </c>
      <c r="L1160" s="5">
        <v>1631.8</v>
      </c>
      <c r="M1160" s="5">
        <f t="shared" si="32"/>
        <v>3.8800000000000026</v>
      </c>
      <c r="N1160" s="5"/>
      <c r="O1160" s="15">
        <f>99500*1.6978</f>
        <v>168931.1</v>
      </c>
      <c r="P1160" s="5"/>
      <c r="Q1160" s="5"/>
      <c r="R1160" s="5">
        <v>2</v>
      </c>
      <c r="S1160" s="5"/>
      <c r="T1160" s="5"/>
      <c r="U1160" s="5"/>
      <c r="V1160" s="5">
        <f>15*0.7457*R1160</f>
        <v>22.371000000000002</v>
      </c>
      <c r="W1160" s="5"/>
      <c r="X1160" s="5"/>
      <c r="Y1160" s="5" t="s">
        <v>48</v>
      </c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16" t="s">
        <v>48</v>
      </c>
      <c r="AN1160" s="5"/>
      <c r="AO1160" s="8"/>
      <c r="AP1160" s="8"/>
      <c r="AQ1160" s="8"/>
      <c r="AR1160" s="8"/>
      <c r="AS1160" s="8"/>
      <c r="AT1160" s="8"/>
      <c r="AU1160" s="8"/>
      <c r="AV1160" s="8"/>
      <c r="AW1160" s="8"/>
      <c r="AX1160" s="8"/>
      <c r="AY1160" s="8"/>
      <c r="AZ1160" s="8"/>
      <c r="BA1160" s="8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8"/>
      <c r="BS1160" s="8"/>
      <c r="BT1160" s="8"/>
      <c r="BU1160" s="8"/>
      <c r="BV1160" s="8"/>
      <c r="BW1160" s="8"/>
      <c r="BX1160" s="8"/>
      <c r="BY1160" s="8"/>
      <c r="BZ1160" s="8"/>
      <c r="CA1160" s="8"/>
      <c r="CB1160" s="8"/>
      <c r="CC1160" s="8"/>
      <c r="CD1160" s="8"/>
      <c r="CE1160" s="8"/>
      <c r="CF1160" s="8"/>
      <c r="CG1160" s="8"/>
      <c r="CH1160" s="8"/>
      <c r="CI1160" s="8"/>
      <c r="CJ1160" s="8"/>
      <c r="CK1160" s="8"/>
      <c r="CL1160" s="8"/>
      <c r="CM1160" s="8"/>
      <c r="CN1160" s="8"/>
      <c r="CO1160" s="8"/>
      <c r="CP1160" s="8"/>
      <c r="CQ1160" s="8"/>
      <c r="CR1160" s="8"/>
      <c r="CS1160" s="8"/>
      <c r="CT1160" s="8"/>
      <c r="CU1160" s="8"/>
      <c r="CV1160" s="8"/>
      <c r="CW1160" s="8"/>
      <c r="CX1160" s="8"/>
      <c r="CY1160" s="8"/>
      <c r="CZ1160" s="8"/>
      <c r="DA1160" s="8"/>
      <c r="DB1160" s="8"/>
      <c r="DC1160" s="8"/>
      <c r="DD1160" s="8"/>
      <c r="DE1160" s="8"/>
      <c r="DF1160" s="8"/>
      <c r="DG1160" s="8"/>
      <c r="DH1160" s="8"/>
      <c r="DI1160" s="8"/>
      <c r="DJ1160" s="8"/>
      <c r="DK1160" s="8"/>
      <c r="DL1160" s="8"/>
      <c r="DM1160" s="8"/>
      <c r="DN1160" s="8"/>
      <c r="DO1160" s="8"/>
      <c r="DP1160" s="8"/>
      <c r="DQ1160" s="8"/>
      <c r="DR1160" s="8"/>
      <c r="DS1160" s="8"/>
      <c r="DT1160" s="8"/>
      <c r="DU1160" s="8"/>
      <c r="DV1160" s="8"/>
      <c r="DW1160" s="8"/>
      <c r="DX1160" s="8"/>
      <c r="DY1160" s="8"/>
      <c r="DZ1160" s="8"/>
      <c r="EA1160" s="8"/>
      <c r="EB1160" s="8"/>
      <c r="EC1160" s="8"/>
      <c r="ED1160" s="8"/>
      <c r="EE1160" s="8"/>
      <c r="EF1160" s="8"/>
      <c r="EG1160" s="8"/>
      <c r="EH1160" s="8"/>
      <c r="EI1160" s="8"/>
      <c r="EJ1160" s="8"/>
      <c r="EK1160" s="8"/>
      <c r="EL1160" s="8"/>
      <c r="EM1160" s="8"/>
      <c r="EN1160" s="8"/>
      <c r="EO1160" s="8"/>
      <c r="EP1160" s="8"/>
      <c r="EQ1160" s="8"/>
      <c r="ER1160" s="8"/>
      <c r="ES1160" s="8"/>
      <c r="ET1160" s="8"/>
      <c r="EU1160" s="8"/>
      <c r="EV1160" s="8"/>
      <c r="EW1160" s="8"/>
      <c r="EX1160" s="8"/>
      <c r="EY1160" s="8"/>
      <c r="EZ1160" s="8"/>
      <c r="FA1160" s="8"/>
      <c r="FB1160" s="8"/>
      <c r="FC1160" s="8"/>
      <c r="FD1160" s="8"/>
      <c r="FE1160" s="8"/>
      <c r="FF1160" s="8"/>
      <c r="FG1160" s="8"/>
      <c r="FH1160" s="8"/>
      <c r="FI1160" s="8"/>
      <c r="FJ1160" s="8"/>
      <c r="FK1160" s="8"/>
      <c r="FL1160" s="8"/>
      <c r="FM1160" s="8"/>
      <c r="FN1160" s="8"/>
      <c r="FO1160" s="8"/>
      <c r="FP1160" s="8"/>
      <c r="FQ1160" s="8"/>
      <c r="FR1160" s="8"/>
      <c r="FS1160" s="8"/>
      <c r="FT1160" s="8"/>
      <c r="FU1160" s="8"/>
      <c r="FV1160" s="8"/>
      <c r="FW1160" s="8"/>
      <c r="FX1160" s="8"/>
      <c r="FY1160" s="8"/>
      <c r="FZ1160" s="8"/>
      <c r="GA1160" s="8"/>
      <c r="GB1160" s="8"/>
      <c r="GC1160" s="8"/>
      <c r="GD1160" s="8"/>
      <c r="GE1160" s="8"/>
      <c r="GF1160" s="8"/>
      <c r="GG1160" s="8"/>
      <c r="GH1160" s="8"/>
      <c r="GI1160" s="8"/>
      <c r="GJ1160" s="8"/>
      <c r="GK1160" s="8"/>
      <c r="GL1160" s="8"/>
      <c r="GM1160" s="8"/>
      <c r="GN1160" s="8"/>
      <c r="GO1160" s="8"/>
      <c r="GP1160" s="8"/>
      <c r="GQ1160" s="8"/>
      <c r="GR1160" s="8"/>
      <c r="GS1160" s="8"/>
      <c r="GT1160" s="8"/>
      <c r="GU1160" s="8"/>
      <c r="GV1160" s="8"/>
      <c r="GW1160" s="8"/>
      <c r="GX1160" s="8"/>
      <c r="GY1160" s="8"/>
      <c r="GZ1160" s="8"/>
      <c r="HA1160" s="8"/>
      <c r="HB1160" s="8"/>
      <c r="HC1160" s="8"/>
      <c r="HD1160" s="8"/>
      <c r="HE1160" s="8"/>
      <c r="HF1160" s="8"/>
      <c r="HG1160" s="8"/>
      <c r="HH1160" s="8"/>
      <c r="HI1160" s="8"/>
      <c r="HJ1160" s="8"/>
      <c r="HK1160" s="8"/>
      <c r="HL1160" s="8"/>
      <c r="HM1160" s="8"/>
      <c r="HN1160" s="8"/>
      <c r="HO1160" s="8"/>
      <c r="HP1160" s="8"/>
      <c r="HQ1160" s="8"/>
      <c r="HR1160" s="8"/>
      <c r="HS1160" s="8"/>
      <c r="HT1160" s="8"/>
      <c r="HU1160" s="8"/>
      <c r="HV1160" s="8"/>
      <c r="HW1160" s="8"/>
      <c r="HX1160" s="8"/>
      <c r="HY1160" s="8"/>
      <c r="HZ1160" s="8"/>
      <c r="IA1160" s="8"/>
      <c r="IB1160" s="8"/>
      <c r="IC1160" s="8"/>
      <c r="ID1160" s="8"/>
      <c r="IE1160" s="8"/>
      <c r="IF1160" s="8"/>
    </row>
    <row r="1161" spans="1:240" ht="30" customHeight="1">
      <c r="A1161" s="5">
        <v>1159</v>
      </c>
      <c r="B1161" s="5"/>
      <c r="C1161" s="5"/>
      <c r="D1161" s="5" t="s">
        <v>68</v>
      </c>
      <c r="E1161" s="5" t="s">
        <v>48</v>
      </c>
      <c r="F1161" s="5" t="s">
        <v>48</v>
      </c>
      <c r="G1161" s="5" t="s">
        <v>48</v>
      </c>
      <c r="H1161" s="15">
        <f>14940*0.454</f>
        <v>6782.76</v>
      </c>
      <c r="I1161" s="5" t="s">
        <v>13</v>
      </c>
      <c r="J1161" s="15">
        <f>(3*418)/4.4</f>
        <v>285</v>
      </c>
      <c r="K1161" s="15">
        <f t="shared" si="33"/>
        <v>5.5560000000000009</v>
      </c>
      <c r="L1161" s="5">
        <v>1470</v>
      </c>
      <c r="M1161" s="5">
        <f t="shared" si="32"/>
        <v>3.8800000000000026</v>
      </c>
      <c r="N1161" s="5"/>
      <c r="O1161" s="15">
        <f>86400*1.6978</f>
        <v>146689.91999999998</v>
      </c>
      <c r="P1161" s="5"/>
      <c r="Q1161" s="5"/>
      <c r="R1161" s="5">
        <v>2</v>
      </c>
      <c r="S1161" s="5"/>
      <c r="T1161" s="5"/>
      <c r="U1161" s="5"/>
      <c r="V1161" s="5">
        <f>10*0.7457*R1161</f>
        <v>14.914000000000001</v>
      </c>
      <c r="W1161" s="5"/>
      <c r="X1161" s="5"/>
      <c r="Y1161" s="5" t="s">
        <v>48</v>
      </c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16" t="s">
        <v>48</v>
      </c>
      <c r="AN1161" s="5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8"/>
      <c r="BS1161" s="8"/>
      <c r="BT1161" s="8"/>
      <c r="BU1161" s="8"/>
      <c r="BV1161" s="8"/>
      <c r="BW1161" s="8"/>
      <c r="BX1161" s="8"/>
      <c r="BY1161" s="8"/>
      <c r="BZ1161" s="8"/>
      <c r="CA1161" s="8"/>
      <c r="CB1161" s="8"/>
      <c r="CC1161" s="8"/>
      <c r="CD1161" s="8"/>
      <c r="CE1161" s="8"/>
      <c r="CF1161" s="8"/>
      <c r="CG1161" s="8"/>
      <c r="CH1161" s="8"/>
      <c r="CI1161" s="8"/>
      <c r="CJ1161" s="8"/>
      <c r="CK1161" s="8"/>
      <c r="CL1161" s="8"/>
      <c r="CM1161" s="8"/>
      <c r="CN1161" s="8"/>
      <c r="CO1161" s="8"/>
      <c r="CP1161" s="8"/>
      <c r="CQ1161" s="8"/>
      <c r="CR1161" s="8"/>
      <c r="CS1161" s="8"/>
      <c r="CT1161" s="8"/>
      <c r="CU1161" s="8"/>
      <c r="CV1161" s="8"/>
      <c r="CW1161" s="8"/>
      <c r="CX1161" s="8"/>
      <c r="CY1161" s="8"/>
      <c r="CZ1161" s="8"/>
      <c r="DA1161" s="8"/>
      <c r="DB1161" s="8"/>
      <c r="DC1161" s="8"/>
      <c r="DD1161" s="8"/>
      <c r="DE1161" s="8"/>
      <c r="DF1161" s="8"/>
      <c r="DG1161" s="8"/>
      <c r="DH1161" s="8"/>
      <c r="DI1161" s="8"/>
      <c r="DJ1161" s="8"/>
      <c r="DK1161" s="8"/>
      <c r="DL1161" s="8"/>
      <c r="DM1161" s="8"/>
      <c r="DN1161" s="8"/>
      <c r="DO1161" s="8"/>
      <c r="DP1161" s="8"/>
      <c r="DQ1161" s="8"/>
      <c r="DR1161" s="8"/>
      <c r="DS1161" s="8"/>
      <c r="DT1161" s="8"/>
      <c r="DU1161" s="8"/>
      <c r="DV1161" s="8"/>
      <c r="DW1161" s="8"/>
      <c r="DX1161" s="8"/>
      <c r="DY1161" s="8"/>
      <c r="DZ1161" s="8"/>
      <c r="EA1161" s="8"/>
      <c r="EB1161" s="8"/>
      <c r="EC1161" s="8"/>
      <c r="ED1161" s="8"/>
      <c r="EE1161" s="8"/>
      <c r="EF1161" s="8"/>
      <c r="EG1161" s="8"/>
      <c r="EH1161" s="8"/>
      <c r="EI1161" s="8"/>
      <c r="EJ1161" s="8"/>
      <c r="EK1161" s="8"/>
      <c r="EL1161" s="8"/>
      <c r="EM1161" s="8"/>
      <c r="EN1161" s="8"/>
      <c r="EO1161" s="8"/>
      <c r="EP1161" s="8"/>
      <c r="EQ1161" s="8"/>
      <c r="ER1161" s="8"/>
      <c r="ES1161" s="8"/>
      <c r="ET1161" s="8"/>
      <c r="EU1161" s="8"/>
      <c r="EV1161" s="8"/>
      <c r="EW1161" s="8"/>
      <c r="EX1161" s="8"/>
      <c r="EY1161" s="8"/>
      <c r="EZ1161" s="8"/>
      <c r="FA1161" s="8"/>
      <c r="FB1161" s="8"/>
      <c r="FC1161" s="8"/>
      <c r="FD1161" s="8"/>
      <c r="FE1161" s="8"/>
      <c r="FF1161" s="8"/>
      <c r="FG1161" s="8"/>
      <c r="FH1161" s="8"/>
      <c r="FI1161" s="8"/>
      <c r="FJ1161" s="8"/>
      <c r="FK1161" s="8"/>
      <c r="FL1161" s="8"/>
      <c r="FM1161" s="8"/>
      <c r="FN1161" s="8"/>
      <c r="FO1161" s="8"/>
      <c r="FP1161" s="8"/>
      <c r="FQ1161" s="8"/>
      <c r="FR1161" s="8"/>
      <c r="FS1161" s="8"/>
      <c r="FT1161" s="8"/>
      <c r="FU1161" s="8"/>
      <c r="FV1161" s="8"/>
      <c r="FW1161" s="8"/>
      <c r="FX1161" s="8"/>
      <c r="FY1161" s="8"/>
      <c r="FZ1161" s="8"/>
      <c r="GA1161" s="8"/>
      <c r="GB1161" s="8"/>
      <c r="GC1161" s="8"/>
      <c r="GD1161" s="8"/>
      <c r="GE1161" s="8"/>
      <c r="GF1161" s="8"/>
      <c r="GG1161" s="8"/>
      <c r="GH1161" s="8"/>
      <c r="GI1161" s="8"/>
      <c r="GJ1161" s="8"/>
      <c r="GK1161" s="8"/>
      <c r="GL1161" s="8"/>
      <c r="GM1161" s="8"/>
      <c r="GN1161" s="8"/>
      <c r="GO1161" s="8"/>
      <c r="GP1161" s="8"/>
      <c r="GQ1161" s="8"/>
      <c r="GR1161" s="8"/>
      <c r="GS1161" s="8"/>
      <c r="GT1161" s="8"/>
      <c r="GU1161" s="8"/>
      <c r="GV1161" s="8"/>
      <c r="GW1161" s="8"/>
      <c r="GX1161" s="8"/>
      <c r="GY1161" s="8"/>
      <c r="GZ1161" s="8"/>
      <c r="HA1161" s="8"/>
      <c r="HB1161" s="8"/>
      <c r="HC1161" s="8"/>
      <c r="HD1161" s="8"/>
      <c r="HE1161" s="8"/>
      <c r="HF1161" s="8"/>
      <c r="HG1161" s="8"/>
      <c r="HH1161" s="8"/>
      <c r="HI1161" s="8"/>
      <c r="HJ1161" s="8"/>
      <c r="HK1161" s="8"/>
      <c r="HL1161" s="8"/>
      <c r="HM1161" s="8"/>
      <c r="HN1161" s="8"/>
      <c r="HO1161" s="8"/>
      <c r="HP1161" s="8"/>
      <c r="HQ1161" s="8"/>
      <c r="HR1161" s="8"/>
      <c r="HS1161" s="8"/>
      <c r="HT1161" s="8"/>
      <c r="HU1161" s="8"/>
      <c r="HV1161" s="8"/>
      <c r="HW1161" s="8"/>
      <c r="HX1161" s="8"/>
      <c r="HY1161" s="8"/>
      <c r="HZ1161" s="8"/>
      <c r="IA1161" s="8"/>
      <c r="IB1161" s="8"/>
      <c r="IC1161" s="8"/>
      <c r="ID1161" s="8"/>
      <c r="IE1161" s="8"/>
      <c r="IF1161" s="8"/>
    </row>
    <row r="1162" spans="1:240" ht="30" customHeight="1">
      <c r="A1162" s="5">
        <v>1160</v>
      </c>
      <c r="B1162" s="5"/>
      <c r="C1162" s="5"/>
      <c r="D1162" s="5" t="s">
        <v>68</v>
      </c>
      <c r="E1162" s="5" t="s">
        <v>48</v>
      </c>
      <c r="F1162" s="5" t="s">
        <v>48</v>
      </c>
      <c r="G1162" s="5" t="s">
        <v>48</v>
      </c>
      <c r="H1162" s="15">
        <f>15080*0.454</f>
        <v>6846.3200000000006</v>
      </c>
      <c r="I1162" s="5" t="s">
        <v>13</v>
      </c>
      <c r="J1162" s="15">
        <f>(3*484)/4.4</f>
        <v>330</v>
      </c>
      <c r="K1162" s="15">
        <f t="shared" si="33"/>
        <v>5.5560000000000009</v>
      </c>
      <c r="L1162" s="5">
        <v>1702.2</v>
      </c>
      <c r="M1162" s="5">
        <f t="shared" si="32"/>
        <v>3.8800000000000026</v>
      </c>
      <c r="N1162" s="5"/>
      <c r="O1162" s="15">
        <f>97900*1.6978</f>
        <v>166214.62</v>
      </c>
      <c r="P1162" s="5"/>
      <c r="Q1162" s="5"/>
      <c r="R1162" s="5">
        <v>2</v>
      </c>
      <c r="S1162" s="5"/>
      <c r="T1162" s="5"/>
      <c r="U1162" s="5"/>
      <c r="V1162" s="5">
        <f>15*0.7457*R1162</f>
        <v>22.371000000000002</v>
      </c>
      <c r="W1162" s="5"/>
      <c r="X1162" s="5"/>
      <c r="Y1162" s="5" t="s">
        <v>48</v>
      </c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16" t="s">
        <v>48</v>
      </c>
      <c r="AN1162" s="5"/>
      <c r="AO1162" s="8"/>
      <c r="AP1162" s="8"/>
      <c r="AQ1162" s="8"/>
      <c r="AR1162" s="8"/>
      <c r="AS1162" s="8"/>
      <c r="AT1162" s="8"/>
      <c r="AU1162" s="8"/>
      <c r="AV1162" s="8"/>
      <c r="AW1162" s="8"/>
      <c r="AX1162" s="8"/>
      <c r="AY1162" s="8"/>
      <c r="AZ1162" s="8"/>
      <c r="BA1162" s="8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8"/>
      <c r="BS1162" s="8"/>
      <c r="BT1162" s="8"/>
      <c r="BU1162" s="8"/>
      <c r="BV1162" s="8"/>
      <c r="BW1162" s="8"/>
      <c r="BX1162" s="8"/>
      <c r="BY1162" s="8"/>
      <c r="BZ1162" s="8"/>
      <c r="CA1162" s="8"/>
      <c r="CB1162" s="8"/>
      <c r="CC1162" s="8"/>
      <c r="CD1162" s="8"/>
      <c r="CE1162" s="8"/>
      <c r="CF1162" s="8"/>
      <c r="CG1162" s="8"/>
      <c r="CH1162" s="8"/>
      <c r="CI1162" s="8"/>
      <c r="CJ1162" s="8"/>
      <c r="CK1162" s="8"/>
      <c r="CL1162" s="8"/>
      <c r="CM1162" s="8"/>
      <c r="CN1162" s="8"/>
      <c r="CO1162" s="8"/>
      <c r="CP1162" s="8"/>
      <c r="CQ1162" s="8"/>
      <c r="CR1162" s="8"/>
      <c r="CS1162" s="8"/>
      <c r="CT1162" s="8"/>
      <c r="CU1162" s="8"/>
      <c r="CV1162" s="8"/>
      <c r="CW1162" s="8"/>
      <c r="CX1162" s="8"/>
      <c r="CY1162" s="8"/>
      <c r="CZ1162" s="8"/>
      <c r="DA1162" s="8"/>
      <c r="DB1162" s="8"/>
      <c r="DC1162" s="8"/>
      <c r="DD1162" s="8"/>
      <c r="DE1162" s="8"/>
      <c r="DF1162" s="8"/>
      <c r="DG1162" s="8"/>
      <c r="DH1162" s="8"/>
      <c r="DI1162" s="8"/>
      <c r="DJ1162" s="8"/>
      <c r="DK1162" s="8"/>
      <c r="DL1162" s="8"/>
      <c r="DM1162" s="8"/>
      <c r="DN1162" s="8"/>
      <c r="DO1162" s="8"/>
      <c r="DP1162" s="8"/>
      <c r="DQ1162" s="8"/>
      <c r="DR1162" s="8"/>
      <c r="DS1162" s="8"/>
      <c r="DT1162" s="8"/>
      <c r="DU1162" s="8"/>
      <c r="DV1162" s="8"/>
      <c r="DW1162" s="8"/>
      <c r="DX1162" s="8"/>
      <c r="DY1162" s="8"/>
      <c r="DZ1162" s="8"/>
      <c r="EA1162" s="8"/>
      <c r="EB1162" s="8"/>
      <c r="EC1162" s="8"/>
      <c r="ED1162" s="8"/>
      <c r="EE1162" s="8"/>
      <c r="EF1162" s="8"/>
      <c r="EG1162" s="8"/>
      <c r="EH1162" s="8"/>
      <c r="EI1162" s="8"/>
      <c r="EJ1162" s="8"/>
      <c r="EK1162" s="8"/>
      <c r="EL1162" s="8"/>
      <c r="EM1162" s="8"/>
      <c r="EN1162" s="8"/>
      <c r="EO1162" s="8"/>
      <c r="EP1162" s="8"/>
      <c r="EQ1162" s="8"/>
      <c r="ER1162" s="8"/>
      <c r="ES1162" s="8"/>
      <c r="ET1162" s="8"/>
      <c r="EU1162" s="8"/>
      <c r="EV1162" s="8"/>
      <c r="EW1162" s="8"/>
      <c r="EX1162" s="8"/>
      <c r="EY1162" s="8"/>
      <c r="EZ1162" s="8"/>
      <c r="FA1162" s="8"/>
      <c r="FB1162" s="8"/>
      <c r="FC1162" s="8"/>
      <c r="FD1162" s="8"/>
      <c r="FE1162" s="8"/>
      <c r="FF1162" s="8"/>
      <c r="FG1162" s="8"/>
      <c r="FH1162" s="8"/>
      <c r="FI1162" s="8"/>
      <c r="FJ1162" s="8"/>
      <c r="FK1162" s="8"/>
      <c r="FL1162" s="8"/>
      <c r="FM1162" s="8"/>
      <c r="FN1162" s="8"/>
      <c r="FO1162" s="8"/>
      <c r="FP1162" s="8"/>
      <c r="FQ1162" s="8"/>
      <c r="FR1162" s="8"/>
      <c r="FS1162" s="8"/>
      <c r="FT1162" s="8"/>
      <c r="FU1162" s="8"/>
      <c r="FV1162" s="8"/>
      <c r="FW1162" s="8"/>
      <c r="FX1162" s="8"/>
      <c r="FY1162" s="8"/>
      <c r="FZ1162" s="8"/>
      <c r="GA1162" s="8"/>
      <c r="GB1162" s="8"/>
      <c r="GC1162" s="8"/>
      <c r="GD1162" s="8"/>
      <c r="GE1162" s="8"/>
      <c r="GF1162" s="8"/>
      <c r="GG1162" s="8"/>
      <c r="GH1162" s="8"/>
      <c r="GI1162" s="8"/>
      <c r="GJ1162" s="8"/>
      <c r="GK1162" s="8"/>
      <c r="GL1162" s="8"/>
      <c r="GM1162" s="8"/>
      <c r="GN1162" s="8"/>
      <c r="GO1162" s="8"/>
      <c r="GP1162" s="8"/>
      <c r="GQ1162" s="8"/>
      <c r="GR1162" s="8"/>
      <c r="GS1162" s="8"/>
      <c r="GT1162" s="8"/>
      <c r="GU1162" s="8"/>
      <c r="GV1162" s="8"/>
      <c r="GW1162" s="8"/>
      <c r="GX1162" s="8"/>
      <c r="GY1162" s="8"/>
      <c r="GZ1162" s="8"/>
      <c r="HA1162" s="8"/>
      <c r="HB1162" s="8"/>
      <c r="HC1162" s="8"/>
      <c r="HD1162" s="8"/>
      <c r="HE1162" s="8"/>
      <c r="HF1162" s="8"/>
      <c r="HG1162" s="8"/>
      <c r="HH1162" s="8"/>
      <c r="HI1162" s="8"/>
      <c r="HJ1162" s="8"/>
      <c r="HK1162" s="8"/>
      <c r="HL1162" s="8"/>
      <c r="HM1162" s="8"/>
      <c r="HN1162" s="8"/>
      <c r="HO1162" s="8"/>
      <c r="HP1162" s="8"/>
      <c r="HQ1162" s="8"/>
      <c r="HR1162" s="8"/>
      <c r="HS1162" s="8"/>
      <c r="HT1162" s="8"/>
      <c r="HU1162" s="8"/>
      <c r="HV1162" s="8"/>
      <c r="HW1162" s="8"/>
      <c r="HX1162" s="8"/>
      <c r="HY1162" s="8"/>
      <c r="HZ1162" s="8"/>
      <c r="IA1162" s="8"/>
      <c r="IB1162" s="8"/>
      <c r="IC1162" s="8"/>
      <c r="ID1162" s="8"/>
      <c r="IE1162" s="8"/>
      <c r="IF1162" s="8"/>
    </row>
    <row r="1163" spans="1:240" ht="30" customHeight="1">
      <c r="A1163" s="5">
        <v>1161</v>
      </c>
      <c r="B1163" s="5"/>
      <c r="C1163" s="5"/>
      <c r="D1163" s="5" t="s">
        <v>68</v>
      </c>
      <c r="E1163" s="5" t="s">
        <v>48</v>
      </c>
      <c r="F1163" s="5" t="s">
        <v>48</v>
      </c>
      <c r="G1163" s="5" t="s">
        <v>48</v>
      </c>
      <c r="H1163" s="15">
        <f>15180*0.454</f>
        <v>6891.72</v>
      </c>
      <c r="I1163" s="5" t="s">
        <v>13</v>
      </c>
      <c r="J1163" s="15">
        <f>(3*530)/4.4</f>
        <v>361.36363636363632</v>
      </c>
      <c r="K1163" s="15">
        <f t="shared" si="33"/>
        <v>5.5560000000000009</v>
      </c>
      <c r="L1163" s="5">
        <v>1863.9</v>
      </c>
      <c r="M1163" s="5">
        <f t="shared" si="32"/>
        <v>3.8800000000000026</v>
      </c>
      <c r="N1163" s="5"/>
      <c r="O1163" s="15">
        <f>107100*1.6978</f>
        <v>181834.38</v>
      </c>
      <c r="P1163" s="5"/>
      <c r="Q1163" s="5"/>
      <c r="R1163" s="5">
        <v>2</v>
      </c>
      <c r="S1163" s="5"/>
      <c r="T1163" s="5"/>
      <c r="U1163" s="5"/>
      <c r="V1163" s="5">
        <f>20*0.7457*R1163</f>
        <v>29.828000000000003</v>
      </c>
      <c r="W1163" s="5"/>
      <c r="X1163" s="5"/>
      <c r="Y1163" s="5" t="s">
        <v>48</v>
      </c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16" t="s">
        <v>48</v>
      </c>
      <c r="AN1163" s="5"/>
      <c r="AO1163" s="8"/>
      <c r="AP1163" s="8"/>
      <c r="AQ1163" s="8"/>
      <c r="AR1163" s="8"/>
      <c r="AS1163" s="8"/>
      <c r="AT1163" s="8"/>
      <c r="AU1163" s="8"/>
      <c r="AV1163" s="8"/>
      <c r="AW1163" s="8"/>
      <c r="AX1163" s="8"/>
      <c r="AY1163" s="8"/>
      <c r="AZ1163" s="8"/>
      <c r="BA1163" s="8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8"/>
      <c r="BS1163" s="8"/>
      <c r="BT1163" s="8"/>
      <c r="BU1163" s="8"/>
      <c r="BV1163" s="8"/>
      <c r="BW1163" s="8"/>
      <c r="BX1163" s="8"/>
      <c r="BY1163" s="8"/>
      <c r="BZ1163" s="8"/>
      <c r="CA1163" s="8"/>
      <c r="CB1163" s="8"/>
      <c r="CC1163" s="8"/>
      <c r="CD1163" s="8"/>
      <c r="CE1163" s="8"/>
      <c r="CF1163" s="8"/>
      <c r="CG1163" s="8"/>
      <c r="CH1163" s="8"/>
      <c r="CI1163" s="8"/>
      <c r="CJ1163" s="8"/>
      <c r="CK1163" s="8"/>
      <c r="CL1163" s="8"/>
      <c r="CM1163" s="8"/>
      <c r="CN1163" s="8"/>
      <c r="CO1163" s="8"/>
      <c r="CP1163" s="8"/>
      <c r="CQ1163" s="8"/>
      <c r="CR1163" s="8"/>
      <c r="CS1163" s="8"/>
      <c r="CT1163" s="8"/>
      <c r="CU1163" s="8"/>
      <c r="CV1163" s="8"/>
      <c r="CW1163" s="8"/>
      <c r="CX1163" s="8"/>
      <c r="CY1163" s="8"/>
      <c r="CZ1163" s="8"/>
      <c r="DA1163" s="8"/>
      <c r="DB1163" s="8"/>
      <c r="DC1163" s="8"/>
      <c r="DD1163" s="8"/>
      <c r="DE1163" s="8"/>
      <c r="DF1163" s="8"/>
      <c r="DG1163" s="8"/>
      <c r="DH1163" s="8"/>
      <c r="DI1163" s="8"/>
      <c r="DJ1163" s="8"/>
      <c r="DK1163" s="8"/>
      <c r="DL1163" s="8"/>
      <c r="DM1163" s="8"/>
      <c r="DN1163" s="8"/>
      <c r="DO1163" s="8"/>
      <c r="DP1163" s="8"/>
      <c r="DQ1163" s="8"/>
      <c r="DR1163" s="8"/>
      <c r="DS1163" s="8"/>
      <c r="DT1163" s="8"/>
      <c r="DU1163" s="8"/>
      <c r="DV1163" s="8"/>
      <c r="DW1163" s="8"/>
      <c r="DX1163" s="8"/>
      <c r="DY1163" s="8"/>
      <c r="DZ1163" s="8"/>
      <c r="EA1163" s="8"/>
      <c r="EB1163" s="8"/>
      <c r="EC1163" s="8"/>
      <c r="ED1163" s="8"/>
      <c r="EE1163" s="8"/>
      <c r="EF1163" s="8"/>
      <c r="EG1163" s="8"/>
      <c r="EH1163" s="8"/>
      <c r="EI1163" s="8"/>
      <c r="EJ1163" s="8"/>
      <c r="EK1163" s="8"/>
      <c r="EL1163" s="8"/>
      <c r="EM1163" s="8"/>
      <c r="EN1163" s="8"/>
      <c r="EO1163" s="8"/>
      <c r="EP1163" s="8"/>
      <c r="EQ1163" s="8"/>
      <c r="ER1163" s="8"/>
      <c r="ES1163" s="8"/>
      <c r="ET1163" s="8"/>
      <c r="EU1163" s="8"/>
      <c r="EV1163" s="8"/>
      <c r="EW1163" s="8"/>
      <c r="EX1163" s="8"/>
      <c r="EY1163" s="8"/>
      <c r="EZ1163" s="8"/>
      <c r="FA1163" s="8"/>
      <c r="FB1163" s="8"/>
      <c r="FC1163" s="8"/>
      <c r="FD1163" s="8"/>
      <c r="FE1163" s="8"/>
      <c r="FF1163" s="8"/>
      <c r="FG1163" s="8"/>
      <c r="FH1163" s="8"/>
      <c r="FI1163" s="8"/>
      <c r="FJ1163" s="8"/>
      <c r="FK1163" s="8"/>
      <c r="FL1163" s="8"/>
      <c r="FM1163" s="8"/>
      <c r="FN1163" s="8"/>
      <c r="FO1163" s="8"/>
      <c r="FP1163" s="8"/>
      <c r="FQ1163" s="8"/>
      <c r="FR1163" s="8"/>
      <c r="FS1163" s="8"/>
      <c r="FT1163" s="8"/>
      <c r="FU1163" s="8"/>
      <c r="FV1163" s="8"/>
      <c r="FW1163" s="8"/>
      <c r="FX1163" s="8"/>
      <c r="FY1163" s="8"/>
      <c r="FZ1163" s="8"/>
      <c r="GA1163" s="8"/>
      <c r="GB1163" s="8"/>
      <c r="GC1163" s="8"/>
      <c r="GD1163" s="8"/>
      <c r="GE1163" s="8"/>
      <c r="GF1163" s="8"/>
      <c r="GG1163" s="8"/>
      <c r="GH1163" s="8"/>
      <c r="GI1163" s="8"/>
      <c r="GJ1163" s="8"/>
      <c r="GK1163" s="8"/>
      <c r="GL1163" s="8"/>
      <c r="GM1163" s="8"/>
      <c r="GN1163" s="8"/>
      <c r="GO1163" s="8"/>
      <c r="GP1163" s="8"/>
      <c r="GQ1163" s="8"/>
      <c r="GR1163" s="8"/>
      <c r="GS1163" s="8"/>
      <c r="GT1163" s="8"/>
      <c r="GU1163" s="8"/>
      <c r="GV1163" s="8"/>
      <c r="GW1163" s="8"/>
      <c r="GX1163" s="8"/>
      <c r="GY1163" s="8"/>
      <c r="GZ1163" s="8"/>
      <c r="HA1163" s="8"/>
      <c r="HB1163" s="8"/>
      <c r="HC1163" s="8"/>
      <c r="HD1163" s="8"/>
      <c r="HE1163" s="8"/>
      <c r="HF1163" s="8"/>
      <c r="HG1163" s="8"/>
      <c r="HH1163" s="8"/>
      <c r="HI1163" s="8"/>
      <c r="HJ1163" s="8"/>
      <c r="HK1163" s="8"/>
      <c r="HL1163" s="8"/>
      <c r="HM1163" s="8"/>
      <c r="HN1163" s="8"/>
      <c r="HO1163" s="8"/>
      <c r="HP1163" s="8"/>
      <c r="HQ1163" s="8"/>
      <c r="HR1163" s="8"/>
      <c r="HS1163" s="8"/>
      <c r="HT1163" s="8"/>
      <c r="HU1163" s="8"/>
      <c r="HV1163" s="8"/>
      <c r="HW1163" s="8"/>
      <c r="HX1163" s="8"/>
      <c r="HY1163" s="8"/>
      <c r="HZ1163" s="8"/>
      <c r="IA1163" s="8"/>
      <c r="IB1163" s="8"/>
      <c r="IC1163" s="8"/>
      <c r="ID1163" s="8"/>
      <c r="IE1163" s="8"/>
      <c r="IF1163" s="8"/>
    </row>
    <row r="1164" spans="1:240" ht="30" customHeight="1">
      <c r="A1164" s="5">
        <v>1162</v>
      </c>
      <c r="B1164" s="5"/>
      <c r="C1164" s="5"/>
      <c r="D1164" s="5" t="s">
        <v>68</v>
      </c>
      <c r="E1164" s="5" t="s">
        <v>48</v>
      </c>
      <c r="F1164" s="5" t="s">
        <v>48</v>
      </c>
      <c r="G1164" s="5" t="s">
        <v>48</v>
      </c>
      <c r="H1164" s="15">
        <f>15660*0.454</f>
        <v>7109.64</v>
      </c>
      <c r="I1164" s="5" t="s">
        <v>13</v>
      </c>
      <c r="J1164" s="15">
        <f>(3*316)/4.4</f>
        <v>215.45454545454544</v>
      </c>
      <c r="K1164" s="15">
        <f t="shared" si="33"/>
        <v>5.5560000000000009</v>
      </c>
      <c r="L1164" s="5">
        <v>1111.3</v>
      </c>
      <c r="M1164" s="5">
        <f t="shared" si="32"/>
        <v>3.8800000000000026</v>
      </c>
      <c r="N1164" s="5"/>
      <c r="O1164" s="15">
        <f>80700*1.6978</f>
        <v>137012.46</v>
      </c>
      <c r="P1164" s="5"/>
      <c r="Q1164" s="5"/>
      <c r="R1164" s="5">
        <v>2</v>
      </c>
      <c r="S1164" s="5"/>
      <c r="T1164" s="5"/>
      <c r="U1164" s="5"/>
      <c r="V1164" s="5">
        <f>5*0.7457*R1164</f>
        <v>7.4570000000000007</v>
      </c>
      <c r="W1164" s="5"/>
      <c r="X1164" s="5"/>
      <c r="Y1164" s="5" t="s">
        <v>48</v>
      </c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16" t="s">
        <v>48</v>
      </c>
      <c r="AN1164" s="5"/>
      <c r="AO1164" s="8"/>
      <c r="AP1164" s="8"/>
      <c r="AQ1164" s="8"/>
      <c r="AR1164" s="8"/>
      <c r="AS1164" s="8"/>
      <c r="AT1164" s="8"/>
      <c r="AU1164" s="8"/>
      <c r="AV1164" s="8"/>
      <c r="AW1164" s="8"/>
      <c r="AX1164" s="8"/>
      <c r="AY1164" s="8"/>
      <c r="AZ1164" s="8"/>
      <c r="BA1164" s="8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8"/>
      <c r="BS1164" s="8"/>
      <c r="BT1164" s="8"/>
      <c r="BU1164" s="8"/>
      <c r="BV1164" s="8"/>
      <c r="BW1164" s="8"/>
      <c r="BX1164" s="8"/>
      <c r="BY1164" s="8"/>
      <c r="BZ1164" s="8"/>
      <c r="CA1164" s="8"/>
      <c r="CB1164" s="8"/>
      <c r="CC1164" s="8"/>
      <c r="CD1164" s="8"/>
      <c r="CE1164" s="8"/>
      <c r="CF1164" s="8"/>
      <c r="CG1164" s="8"/>
      <c r="CH1164" s="8"/>
      <c r="CI1164" s="8"/>
      <c r="CJ1164" s="8"/>
      <c r="CK1164" s="8"/>
      <c r="CL1164" s="8"/>
      <c r="CM1164" s="8"/>
      <c r="CN1164" s="8"/>
      <c r="CO1164" s="8"/>
      <c r="CP1164" s="8"/>
      <c r="CQ1164" s="8"/>
      <c r="CR1164" s="8"/>
      <c r="CS1164" s="8"/>
      <c r="CT1164" s="8"/>
      <c r="CU1164" s="8"/>
      <c r="CV1164" s="8"/>
      <c r="CW1164" s="8"/>
      <c r="CX1164" s="8"/>
      <c r="CY1164" s="8"/>
      <c r="CZ1164" s="8"/>
      <c r="DA1164" s="8"/>
      <c r="DB1164" s="8"/>
      <c r="DC1164" s="8"/>
      <c r="DD1164" s="8"/>
      <c r="DE1164" s="8"/>
      <c r="DF1164" s="8"/>
      <c r="DG1164" s="8"/>
      <c r="DH1164" s="8"/>
      <c r="DI1164" s="8"/>
      <c r="DJ1164" s="8"/>
      <c r="DK1164" s="8"/>
      <c r="DL1164" s="8"/>
      <c r="DM1164" s="8"/>
      <c r="DN1164" s="8"/>
      <c r="DO1164" s="8"/>
      <c r="DP1164" s="8"/>
      <c r="DQ1164" s="8"/>
      <c r="DR1164" s="8"/>
      <c r="DS1164" s="8"/>
      <c r="DT1164" s="8"/>
      <c r="DU1164" s="8"/>
      <c r="DV1164" s="8"/>
      <c r="DW1164" s="8"/>
      <c r="DX1164" s="8"/>
      <c r="DY1164" s="8"/>
      <c r="DZ1164" s="8"/>
      <c r="EA1164" s="8"/>
      <c r="EB1164" s="8"/>
      <c r="EC1164" s="8"/>
      <c r="ED1164" s="8"/>
      <c r="EE1164" s="8"/>
      <c r="EF1164" s="8"/>
      <c r="EG1164" s="8"/>
      <c r="EH1164" s="8"/>
      <c r="EI1164" s="8"/>
      <c r="EJ1164" s="8"/>
      <c r="EK1164" s="8"/>
      <c r="EL1164" s="8"/>
      <c r="EM1164" s="8"/>
      <c r="EN1164" s="8"/>
      <c r="EO1164" s="8"/>
      <c r="EP1164" s="8"/>
      <c r="EQ1164" s="8"/>
      <c r="ER1164" s="8"/>
      <c r="ES1164" s="8"/>
      <c r="ET1164" s="8"/>
      <c r="EU1164" s="8"/>
      <c r="EV1164" s="8"/>
      <c r="EW1164" s="8"/>
      <c r="EX1164" s="8"/>
      <c r="EY1164" s="8"/>
      <c r="EZ1164" s="8"/>
      <c r="FA1164" s="8"/>
      <c r="FB1164" s="8"/>
      <c r="FC1164" s="8"/>
      <c r="FD1164" s="8"/>
      <c r="FE1164" s="8"/>
      <c r="FF1164" s="8"/>
      <c r="FG1164" s="8"/>
      <c r="FH1164" s="8"/>
      <c r="FI1164" s="8"/>
      <c r="FJ1164" s="8"/>
      <c r="FK1164" s="8"/>
      <c r="FL1164" s="8"/>
      <c r="FM1164" s="8"/>
      <c r="FN1164" s="8"/>
      <c r="FO1164" s="8"/>
      <c r="FP1164" s="8"/>
      <c r="FQ1164" s="8"/>
      <c r="FR1164" s="8"/>
      <c r="FS1164" s="8"/>
      <c r="FT1164" s="8"/>
      <c r="FU1164" s="8"/>
      <c r="FV1164" s="8"/>
      <c r="FW1164" s="8"/>
      <c r="FX1164" s="8"/>
      <c r="FY1164" s="8"/>
      <c r="FZ1164" s="8"/>
      <c r="GA1164" s="8"/>
      <c r="GB1164" s="8"/>
      <c r="GC1164" s="8"/>
      <c r="GD1164" s="8"/>
      <c r="GE1164" s="8"/>
      <c r="GF1164" s="8"/>
      <c r="GG1164" s="8"/>
      <c r="GH1164" s="8"/>
      <c r="GI1164" s="8"/>
      <c r="GJ1164" s="8"/>
      <c r="GK1164" s="8"/>
      <c r="GL1164" s="8"/>
      <c r="GM1164" s="8"/>
      <c r="GN1164" s="8"/>
      <c r="GO1164" s="8"/>
      <c r="GP1164" s="8"/>
      <c r="GQ1164" s="8"/>
      <c r="GR1164" s="8"/>
      <c r="GS1164" s="8"/>
      <c r="GT1164" s="8"/>
      <c r="GU1164" s="8"/>
      <c r="GV1164" s="8"/>
      <c r="GW1164" s="8"/>
      <c r="GX1164" s="8"/>
      <c r="GY1164" s="8"/>
      <c r="GZ1164" s="8"/>
      <c r="HA1164" s="8"/>
      <c r="HB1164" s="8"/>
      <c r="HC1164" s="8"/>
      <c r="HD1164" s="8"/>
      <c r="HE1164" s="8"/>
      <c r="HF1164" s="8"/>
      <c r="HG1164" s="8"/>
      <c r="HH1164" s="8"/>
      <c r="HI1164" s="8"/>
      <c r="HJ1164" s="8"/>
      <c r="HK1164" s="8"/>
      <c r="HL1164" s="8"/>
      <c r="HM1164" s="8"/>
      <c r="HN1164" s="8"/>
      <c r="HO1164" s="8"/>
      <c r="HP1164" s="8"/>
      <c r="HQ1164" s="8"/>
      <c r="HR1164" s="8"/>
      <c r="HS1164" s="8"/>
      <c r="HT1164" s="8"/>
      <c r="HU1164" s="8"/>
      <c r="HV1164" s="8"/>
      <c r="HW1164" s="8"/>
      <c r="HX1164" s="8"/>
      <c r="HY1164" s="8"/>
      <c r="HZ1164" s="8"/>
      <c r="IA1164" s="8"/>
      <c r="IB1164" s="8"/>
      <c r="IC1164" s="8"/>
      <c r="ID1164" s="8"/>
      <c r="IE1164" s="8"/>
      <c r="IF1164" s="8"/>
    </row>
    <row r="1165" spans="1:240" ht="30" customHeight="1">
      <c r="A1165" s="5">
        <v>1163</v>
      </c>
      <c r="B1165" s="5"/>
      <c r="C1165" s="5"/>
      <c r="D1165" s="5" t="s">
        <v>68</v>
      </c>
      <c r="E1165" s="5" t="s">
        <v>48</v>
      </c>
      <c r="F1165" s="5" t="s">
        <v>48</v>
      </c>
      <c r="G1165" s="5" t="s">
        <v>48</v>
      </c>
      <c r="H1165" s="15">
        <f>15740*0.454</f>
        <v>7145.96</v>
      </c>
      <c r="I1165" s="5" t="s">
        <v>13</v>
      </c>
      <c r="J1165" s="15">
        <f>(3*379)/4.4</f>
        <v>258.40909090909088</v>
      </c>
      <c r="K1165" s="15">
        <f t="shared" si="33"/>
        <v>5.5560000000000009</v>
      </c>
      <c r="L1165" s="5">
        <v>1332.9</v>
      </c>
      <c r="M1165" s="5">
        <f t="shared" si="32"/>
        <v>3.8800000000000026</v>
      </c>
      <c r="N1165" s="5"/>
      <c r="O1165" s="15">
        <f>91800*1.6978</f>
        <v>155858.04</v>
      </c>
      <c r="P1165" s="5"/>
      <c r="Q1165" s="5"/>
      <c r="R1165" s="5">
        <v>2</v>
      </c>
      <c r="S1165" s="5"/>
      <c r="T1165" s="5"/>
      <c r="U1165" s="5"/>
      <c r="V1165" s="5">
        <f>7.5*0.7457*R1165</f>
        <v>11.185500000000001</v>
      </c>
      <c r="W1165" s="5"/>
      <c r="X1165" s="5"/>
      <c r="Y1165" s="5" t="s">
        <v>48</v>
      </c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16" t="s">
        <v>48</v>
      </c>
      <c r="AN1165" s="5"/>
      <c r="AO1165" s="8"/>
      <c r="AP1165" s="8"/>
      <c r="AQ1165" s="8"/>
      <c r="AR1165" s="8"/>
      <c r="AS1165" s="8"/>
      <c r="AT1165" s="8"/>
      <c r="AU1165" s="8"/>
      <c r="AV1165" s="8"/>
      <c r="AW1165" s="8"/>
      <c r="AX1165" s="8"/>
      <c r="AY1165" s="8"/>
      <c r="AZ1165" s="8"/>
      <c r="BA1165" s="8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8"/>
      <c r="BS1165" s="8"/>
      <c r="BT1165" s="8"/>
      <c r="BU1165" s="8"/>
      <c r="BV1165" s="8"/>
      <c r="BW1165" s="8"/>
      <c r="BX1165" s="8"/>
      <c r="BY1165" s="8"/>
      <c r="BZ1165" s="8"/>
      <c r="CA1165" s="8"/>
      <c r="CB1165" s="8"/>
      <c r="CC1165" s="8"/>
      <c r="CD1165" s="8"/>
      <c r="CE1165" s="8"/>
      <c r="CF1165" s="8"/>
      <c r="CG1165" s="8"/>
      <c r="CH1165" s="8"/>
      <c r="CI1165" s="8"/>
      <c r="CJ1165" s="8"/>
      <c r="CK1165" s="8"/>
      <c r="CL1165" s="8"/>
      <c r="CM1165" s="8"/>
      <c r="CN1165" s="8"/>
      <c r="CO1165" s="8"/>
      <c r="CP1165" s="8"/>
      <c r="CQ1165" s="8"/>
      <c r="CR1165" s="8"/>
      <c r="CS1165" s="8"/>
      <c r="CT1165" s="8"/>
      <c r="CU1165" s="8"/>
      <c r="CV1165" s="8"/>
      <c r="CW1165" s="8"/>
      <c r="CX1165" s="8"/>
      <c r="CY1165" s="8"/>
      <c r="CZ1165" s="8"/>
      <c r="DA1165" s="8"/>
      <c r="DB1165" s="8"/>
      <c r="DC1165" s="8"/>
      <c r="DD1165" s="8"/>
      <c r="DE1165" s="8"/>
      <c r="DF1165" s="8"/>
      <c r="DG1165" s="8"/>
      <c r="DH1165" s="8"/>
      <c r="DI1165" s="8"/>
      <c r="DJ1165" s="8"/>
      <c r="DK1165" s="8"/>
      <c r="DL1165" s="8"/>
      <c r="DM1165" s="8"/>
      <c r="DN1165" s="8"/>
      <c r="DO1165" s="8"/>
      <c r="DP1165" s="8"/>
      <c r="DQ1165" s="8"/>
      <c r="DR1165" s="8"/>
      <c r="DS1165" s="8"/>
      <c r="DT1165" s="8"/>
      <c r="DU1165" s="8"/>
      <c r="DV1165" s="8"/>
      <c r="DW1165" s="8"/>
      <c r="DX1165" s="8"/>
      <c r="DY1165" s="8"/>
      <c r="DZ1165" s="8"/>
      <c r="EA1165" s="8"/>
      <c r="EB1165" s="8"/>
      <c r="EC1165" s="8"/>
      <c r="ED1165" s="8"/>
      <c r="EE1165" s="8"/>
      <c r="EF1165" s="8"/>
      <c r="EG1165" s="8"/>
      <c r="EH1165" s="8"/>
      <c r="EI1165" s="8"/>
      <c r="EJ1165" s="8"/>
      <c r="EK1165" s="8"/>
      <c r="EL1165" s="8"/>
      <c r="EM1165" s="8"/>
      <c r="EN1165" s="8"/>
      <c r="EO1165" s="8"/>
      <c r="EP1165" s="8"/>
      <c r="EQ1165" s="8"/>
      <c r="ER1165" s="8"/>
      <c r="ES1165" s="8"/>
      <c r="ET1165" s="8"/>
      <c r="EU1165" s="8"/>
      <c r="EV1165" s="8"/>
      <c r="EW1165" s="8"/>
      <c r="EX1165" s="8"/>
      <c r="EY1165" s="8"/>
      <c r="EZ1165" s="8"/>
      <c r="FA1165" s="8"/>
      <c r="FB1165" s="8"/>
      <c r="FC1165" s="8"/>
      <c r="FD1165" s="8"/>
      <c r="FE1165" s="8"/>
      <c r="FF1165" s="8"/>
      <c r="FG1165" s="8"/>
      <c r="FH1165" s="8"/>
      <c r="FI1165" s="8"/>
      <c r="FJ1165" s="8"/>
      <c r="FK1165" s="8"/>
      <c r="FL1165" s="8"/>
      <c r="FM1165" s="8"/>
      <c r="FN1165" s="8"/>
      <c r="FO1165" s="8"/>
      <c r="FP1165" s="8"/>
      <c r="FQ1165" s="8"/>
      <c r="FR1165" s="8"/>
      <c r="FS1165" s="8"/>
      <c r="FT1165" s="8"/>
      <c r="FU1165" s="8"/>
      <c r="FV1165" s="8"/>
      <c r="FW1165" s="8"/>
      <c r="FX1165" s="8"/>
      <c r="FY1165" s="8"/>
      <c r="FZ1165" s="8"/>
      <c r="GA1165" s="8"/>
      <c r="GB1165" s="8"/>
      <c r="GC1165" s="8"/>
      <c r="GD1165" s="8"/>
      <c r="GE1165" s="8"/>
      <c r="GF1165" s="8"/>
      <c r="GG1165" s="8"/>
      <c r="GH1165" s="8"/>
      <c r="GI1165" s="8"/>
      <c r="GJ1165" s="8"/>
      <c r="GK1165" s="8"/>
      <c r="GL1165" s="8"/>
      <c r="GM1165" s="8"/>
      <c r="GN1165" s="8"/>
      <c r="GO1165" s="8"/>
      <c r="GP1165" s="8"/>
      <c r="GQ1165" s="8"/>
      <c r="GR1165" s="8"/>
      <c r="GS1165" s="8"/>
      <c r="GT1165" s="8"/>
      <c r="GU1165" s="8"/>
      <c r="GV1165" s="8"/>
      <c r="GW1165" s="8"/>
      <c r="GX1165" s="8"/>
      <c r="GY1165" s="8"/>
      <c r="GZ1165" s="8"/>
      <c r="HA1165" s="8"/>
      <c r="HB1165" s="8"/>
      <c r="HC1165" s="8"/>
      <c r="HD1165" s="8"/>
      <c r="HE1165" s="8"/>
      <c r="HF1165" s="8"/>
      <c r="HG1165" s="8"/>
      <c r="HH1165" s="8"/>
      <c r="HI1165" s="8"/>
      <c r="HJ1165" s="8"/>
      <c r="HK1165" s="8"/>
      <c r="HL1165" s="8"/>
      <c r="HM1165" s="8"/>
      <c r="HN1165" s="8"/>
      <c r="HO1165" s="8"/>
      <c r="HP1165" s="8"/>
      <c r="HQ1165" s="8"/>
      <c r="HR1165" s="8"/>
      <c r="HS1165" s="8"/>
      <c r="HT1165" s="8"/>
      <c r="HU1165" s="8"/>
      <c r="HV1165" s="8"/>
      <c r="HW1165" s="8"/>
      <c r="HX1165" s="8"/>
      <c r="HY1165" s="8"/>
      <c r="HZ1165" s="8"/>
      <c r="IA1165" s="8"/>
      <c r="IB1165" s="8"/>
      <c r="IC1165" s="8"/>
      <c r="ID1165" s="8"/>
      <c r="IE1165" s="8"/>
      <c r="IF1165" s="8"/>
    </row>
    <row r="1166" spans="1:240" ht="30" customHeight="1">
      <c r="A1166" s="5">
        <v>1164</v>
      </c>
      <c r="B1166" s="5"/>
      <c r="C1166" s="5"/>
      <c r="D1166" s="5" t="s">
        <v>68</v>
      </c>
      <c r="E1166" s="5" t="s">
        <v>48</v>
      </c>
      <c r="F1166" s="5" t="s">
        <v>48</v>
      </c>
      <c r="G1166" s="5" t="s">
        <v>48</v>
      </c>
      <c r="H1166" s="15">
        <f>16300*0.454</f>
        <v>7400.2</v>
      </c>
      <c r="I1166" s="5" t="s">
        <v>13</v>
      </c>
      <c r="J1166" s="15">
        <f>(3*347)/4.4</f>
        <v>236.59090909090907</v>
      </c>
      <c r="K1166" s="15">
        <f t="shared" si="33"/>
        <v>5.5560000000000009</v>
      </c>
      <c r="L1166" s="5">
        <v>1220.3</v>
      </c>
      <c r="M1166" s="5">
        <f t="shared" si="32"/>
        <v>3.8800000000000026</v>
      </c>
      <c r="N1166" s="5"/>
      <c r="O1166" s="15">
        <f>79600*1.6978</f>
        <v>135144.88</v>
      </c>
      <c r="P1166" s="5"/>
      <c r="Q1166" s="5"/>
      <c r="R1166" s="5">
        <v>2</v>
      </c>
      <c r="S1166" s="5"/>
      <c r="T1166" s="5"/>
      <c r="U1166" s="5"/>
      <c r="V1166" s="5">
        <f>5*0.7457*R1166</f>
        <v>7.4570000000000007</v>
      </c>
      <c r="W1166" s="5"/>
      <c r="X1166" s="5"/>
      <c r="Y1166" s="5" t="s">
        <v>48</v>
      </c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16" t="s">
        <v>48</v>
      </c>
      <c r="AN1166" s="5"/>
      <c r="AO1166" s="8"/>
      <c r="AP1166" s="8"/>
      <c r="AQ1166" s="8"/>
      <c r="AR1166" s="8"/>
      <c r="AS1166" s="8"/>
      <c r="AT1166" s="8"/>
      <c r="AU1166" s="8"/>
      <c r="AV1166" s="8"/>
      <c r="AW1166" s="8"/>
      <c r="AX1166" s="8"/>
      <c r="AY1166" s="8"/>
      <c r="AZ1166" s="8"/>
      <c r="BA1166" s="8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8"/>
      <c r="BS1166" s="8"/>
      <c r="BT1166" s="8"/>
      <c r="BU1166" s="8"/>
      <c r="BV1166" s="8"/>
      <c r="BW1166" s="8"/>
      <c r="BX1166" s="8"/>
      <c r="BY1166" s="8"/>
      <c r="BZ1166" s="8"/>
      <c r="CA1166" s="8"/>
      <c r="CB1166" s="8"/>
      <c r="CC1166" s="8"/>
      <c r="CD1166" s="8"/>
      <c r="CE1166" s="8"/>
      <c r="CF1166" s="8"/>
      <c r="CG1166" s="8"/>
      <c r="CH1166" s="8"/>
      <c r="CI1166" s="8"/>
      <c r="CJ1166" s="8"/>
      <c r="CK1166" s="8"/>
      <c r="CL1166" s="8"/>
      <c r="CM1166" s="8"/>
      <c r="CN1166" s="8"/>
      <c r="CO1166" s="8"/>
      <c r="CP1166" s="8"/>
      <c r="CQ1166" s="8"/>
      <c r="CR1166" s="8"/>
      <c r="CS1166" s="8"/>
      <c r="CT1166" s="8"/>
      <c r="CU1166" s="8"/>
      <c r="CV1166" s="8"/>
      <c r="CW1166" s="8"/>
      <c r="CX1166" s="8"/>
      <c r="CY1166" s="8"/>
      <c r="CZ1166" s="8"/>
      <c r="DA1166" s="8"/>
      <c r="DB1166" s="8"/>
      <c r="DC1166" s="8"/>
      <c r="DD1166" s="8"/>
      <c r="DE1166" s="8"/>
      <c r="DF1166" s="8"/>
      <c r="DG1166" s="8"/>
      <c r="DH1166" s="8"/>
      <c r="DI1166" s="8"/>
      <c r="DJ1166" s="8"/>
      <c r="DK1166" s="8"/>
      <c r="DL1166" s="8"/>
      <c r="DM1166" s="8"/>
      <c r="DN1166" s="8"/>
      <c r="DO1166" s="8"/>
      <c r="DP1166" s="8"/>
      <c r="DQ1166" s="8"/>
      <c r="DR1166" s="8"/>
      <c r="DS1166" s="8"/>
      <c r="DT1166" s="8"/>
      <c r="DU1166" s="8"/>
      <c r="DV1166" s="8"/>
      <c r="DW1166" s="8"/>
      <c r="DX1166" s="8"/>
      <c r="DY1166" s="8"/>
      <c r="DZ1166" s="8"/>
      <c r="EA1166" s="8"/>
      <c r="EB1166" s="8"/>
      <c r="EC1166" s="8"/>
      <c r="ED1166" s="8"/>
      <c r="EE1166" s="8"/>
      <c r="EF1166" s="8"/>
      <c r="EG1166" s="8"/>
      <c r="EH1166" s="8"/>
      <c r="EI1166" s="8"/>
      <c r="EJ1166" s="8"/>
      <c r="EK1166" s="8"/>
      <c r="EL1166" s="8"/>
      <c r="EM1166" s="8"/>
      <c r="EN1166" s="8"/>
      <c r="EO1166" s="8"/>
      <c r="EP1166" s="8"/>
      <c r="EQ1166" s="8"/>
      <c r="ER1166" s="8"/>
      <c r="ES1166" s="8"/>
      <c r="ET1166" s="8"/>
      <c r="EU1166" s="8"/>
      <c r="EV1166" s="8"/>
      <c r="EW1166" s="8"/>
      <c r="EX1166" s="8"/>
      <c r="EY1166" s="8"/>
      <c r="EZ1166" s="8"/>
      <c r="FA1166" s="8"/>
      <c r="FB1166" s="8"/>
      <c r="FC1166" s="8"/>
      <c r="FD1166" s="8"/>
      <c r="FE1166" s="8"/>
      <c r="FF1166" s="8"/>
      <c r="FG1166" s="8"/>
      <c r="FH1166" s="8"/>
      <c r="FI1166" s="8"/>
      <c r="FJ1166" s="8"/>
      <c r="FK1166" s="8"/>
      <c r="FL1166" s="8"/>
      <c r="FM1166" s="8"/>
      <c r="FN1166" s="8"/>
      <c r="FO1166" s="8"/>
      <c r="FP1166" s="8"/>
      <c r="FQ1166" s="8"/>
      <c r="FR1166" s="8"/>
      <c r="FS1166" s="8"/>
      <c r="FT1166" s="8"/>
      <c r="FU1166" s="8"/>
      <c r="FV1166" s="8"/>
      <c r="FW1166" s="8"/>
      <c r="FX1166" s="8"/>
      <c r="FY1166" s="8"/>
      <c r="FZ1166" s="8"/>
      <c r="GA1166" s="8"/>
      <c r="GB1166" s="8"/>
      <c r="GC1166" s="8"/>
      <c r="GD1166" s="8"/>
      <c r="GE1166" s="8"/>
      <c r="GF1166" s="8"/>
      <c r="GG1166" s="8"/>
      <c r="GH1166" s="8"/>
      <c r="GI1166" s="8"/>
      <c r="GJ1166" s="8"/>
      <c r="GK1166" s="8"/>
      <c r="GL1166" s="8"/>
      <c r="GM1166" s="8"/>
      <c r="GN1166" s="8"/>
      <c r="GO1166" s="8"/>
      <c r="GP1166" s="8"/>
      <c r="GQ1166" s="8"/>
      <c r="GR1166" s="8"/>
      <c r="GS1166" s="8"/>
      <c r="GT1166" s="8"/>
      <c r="GU1166" s="8"/>
      <c r="GV1166" s="8"/>
      <c r="GW1166" s="8"/>
      <c r="GX1166" s="8"/>
      <c r="GY1166" s="8"/>
      <c r="GZ1166" s="8"/>
      <c r="HA1166" s="8"/>
      <c r="HB1166" s="8"/>
      <c r="HC1166" s="8"/>
      <c r="HD1166" s="8"/>
      <c r="HE1166" s="8"/>
      <c r="HF1166" s="8"/>
      <c r="HG1166" s="8"/>
      <c r="HH1166" s="8"/>
      <c r="HI1166" s="8"/>
      <c r="HJ1166" s="8"/>
      <c r="HK1166" s="8"/>
      <c r="HL1166" s="8"/>
      <c r="HM1166" s="8"/>
      <c r="HN1166" s="8"/>
      <c r="HO1166" s="8"/>
      <c r="HP1166" s="8"/>
      <c r="HQ1166" s="8"/>
      <c r="HR1166" s="8"/>
      <c r="HS1166" s="8"/>
      <c r="HT1166" s="8"/>
      <c r="HU1166" s="8"/>
      <c r="HV1166" s="8"/>
      <c r="HW1166" s="8"/>
      <c r="HX1166" s="8"/>
      <c r="HY1166" s="8"/>
      <c r="HZ1166" s="8"/>
      <c r="IA1166" s="8"/>
      <c r="IB1166" s="8"/>
      <c r="IC1166" s="8"/>
      <c r="ID1166" s="8"/>
      <c r="IE1166" s="8"/>
      <c r="IF1166" s="8"/>
    </row>
    <row r="1167" spans="1:240" ht="30" customHeight="1">
      <c r="A1167" s="5">
        <v>1165</v>
      </c>
      <c r="B1167" s="5"/>
      <c r="C1167" s="5"/>
      <c r="D1167" s="5" t="s">
        <v>68</v>
      </c>
      <c r="E1167" s="5" t="s">
        <v>48</v>
      </c>
      <c r="F1167" s="5" t="s">
        <v>48</v>
      </c>
      <c r="G1167" s="5" t="s">
        <v>48</v>
      </c>
      <c r="H1167" s="15">
        <f>16380*0.454</f>
        <v>7436.52</v>
      </c>
      <c r="I1167" s="5" t="s">
        <v>13</v>
      </c>
      <c r="J1167" s="15">
        <f>(3*409)/4.4</f>
        <v>278.86363636363632</v>
      </c>
      <c r="K1167" s="15">
        <f t="shared" si="33"/>
        <v>5.5560000000000009</v>
      </c>
      <c r="L1167" s="5">
        <v>1438.4</v>
      </c>
      <c r="M1167" s="5">
        <f t="shared" ref="M1167:M1232" si="34">29.44-25.56</f>
        <v>3.8800000000000026</v>
      </c>
      <c r="N1167" s="5"/>
      <c r="O1167" s="15">
        <f>90500*1.6978</f>
        <v>153650.9</v>
      </c>
      <c r="P1167" s="5"/>
      <c r="Q1167" s="5"/>
      <c r="R1167" s="5">
        <v>2</v>
      </c>
      <c r="S1167" s="5"/>
      <c r="T1167" s="5"/>
      <c r="U1167" s="5"/>
      <c r="V1167" s="5">
        <f>7.5*0.7457*R1167</f>
        <v>11.185500000000001</v>
      </c>
      <c r="W1167" s="5"/>
      <c r="X1167" s="5"/>
      <c r="Y1167" s="5" t="s">
        <v>48</v>
      </c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16" t="s">
        <v>48</v>
      </c>
      <c r="AN1167" s="5"/>
      <c r="AO1167" s="8"/>
      <c r="AP1167" s="8"/>
      <c r="AQ1167" s="8"/>
      <c r="AR1167" s="8"/>
      <c r="AS1167" s="8"/>
      <c r="AT1167" s="8"/>
      <c r="AU1167" s="8"/>
      <c r="AV1167" s="8"/>
      <c r="AW1167" s="8"/>
      <c r="AX1167" s="8"/>
      <c r="AY1167" s="8"/>
      <c r="AZ1167" s="8"/>
      <c r="BA1167" s="8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8"/>
      <c r="BS1167" s="8"/>
      <c r="BT1167" s="8"/>
      <c r="BU1167" s="8"/>
      <c r="BV1167" s="8"/>
      <c r="BW1167" s="8"/>
      <c r="BX1167" s="8"/>
      <c r="BY1167" s="8"/>
      <c r="BZ1167" s="8"/>
      <c r="CA1167" s="8"/>
      <c r="CB1167" s="8"/>
      <c r="CC1167" s="8"/>
      <c r="CD1167" s="8"/>
      <c r="CE1167" s="8"/>
      <c r="CF1167" s="8"/>
      <c r="CG1167" s="8"/>
      <c r="CH1167" s="8"/>
      <c r="CI1167" s="8"/>
      <c r="CJ1167" s="8"/>
      <c r="CK1167" s="8"/>
      <c r="CL1167" s="8"/>
      <c r="CM1167" s="8"/>
      <c r="CN1167" s="8"/>
      <c r="CO1167" s="8"/>
      <c r="CP1167" s="8"/>
      <c r="CQ1167" s="8"/>
      <c r="CR1167" s="8"/>
      <c r="CS1167" s="8"/>
      <c r="CT1167" s="8"/>
      <c r="CU1167" s="8"/>
      <c r="CV1167" s="8"/>
      <c r="CW1167" s="8"/>
      <c r="CX1167" s="8"/>
      <c r="CY1167" s="8"/>
      <c r="CZ1167" s="8"/>
      <c r="DA1167" s="8"/>
      <c r="DB1167" s="8"/>
      <c r="DC1167" s="8"/>
      <c r="DD1167" s="8"/>
      <c r="DE1167" s="8"/>
      <c r="DF1167" s="8"/>
      <c r="DG1167" s="8"/>
      <c r="DH1167" s="8"/>
      <c r="DI1167" s="8"/>
      <c r="DJ1167" s="8"/>
      <c r="DK1167" s="8"/>
      <c r="DL1167" s="8"/>
      <c r="DM1167" s="8"/>
      <c r="DN1167" s="8"/>
      <c r="DO1167" s="8"/>
      <c r="DP1167" s="8"/>
      <c r="DQ1167" s="8"/>
      <c r="DR1167" s="8"/>
      <c r="DS1167" s="8"/>
      <c r="DT1167" s="8"/>
      <c r="DU1167" s="8"/>
      <c r="DV1167" s="8"/>
      <c r="DW1167" s="8"/>
      <c r="DX1167" s="8"/>
      <c r="DY1167" s="8"/>
      <c r="DZ1167" s="8"/>
      <c r="EA1167" s="8"/>
      <c r="EB1167" s="8"/>
      <c r="EC1167" s="8"/>
      <c r="ED1167" s="8"/>
      <c r="EE1167" s="8"/>
      <c r="EF1167" s="8"/>
      <c r="EG1167" s="8"/>
      <c r="EH1167" s="8"/>
      <c r="EI1167" s="8"/>
      <c r="EJ1167" s="8"/>
      <c r="EK1167" s="8"/>
      <c r="EL1167" s="8"/>
      <c r="EM1167" s="8"/>
      <c r="EN1167" s="8"/>
      <c r="EO1167" s="8"/>
      <c r="EP1167" s="8"/>
      <c r="EQ1167" s="8"/>
      <c r="ER1167" s="8"/>
      <c r="ES1167" s="8"/>
      <c r="ET1167" s="8"/>
      <c r="EU1167" s="8"/>
      <c r="EV1167" s="8"/>
      <c r="EW1167" s="8"/>
      <c r="EX1167" s="8"/>
      <c r="EY1167" s="8"/>
      <c r="EZ1167" s="8"/>
      <c r="FA1167" s="8"/>
      <c r="FB1167" s="8"/>
      <c r="FC1167" s="8"/>
      <c r="FD1167" s="8"/>
      <c r="FE1167" s="8"/>
      <c r="FF1167" s="8"/>
      <c r="FG1167" s="8"/>
      <c r="FH1167" s="8"/>
      <c r="FI1167" s="8"/>
      <c r="FJ1167" s="8"/>
      <c r="FK1167" s="8"/>
      <c r="FL1167" s="8"/>
      <c r="FM1167" s="8"/>
      <c r="FN1167" s="8"/>
      <c r="FO1167" s="8"/>
      <c r="FP1167" s="8"/>
      <c r="FQ1167" s="8"/>
      <c r="FR1167" s="8"/>
      <c r="FS1167" s="8"/>
      <c r="FT1167" s="8"/>
      <c r="FU1167" s="8"/>
      <c r="FV1167" s="8"/>
      <c r="FW1167" s="8"/>
      <c r="FX1167" s="8"/>
      <c r="FY1167" s="8"/>
      <c r="FZ1167" s="8"/>
      <c r="GA1167" s="8"/>
      <c r="GB1167" s="8"/>
      <c r="GC1167" s="8"/>
      <c r="GD1167" s="8"/>
      <c r="GE1167" s="8"/>
      <c r="GF1167" s="8"/>
      <c r="GG1167" s="8"/>
      <c r="GH1167" s="8"/>
      <c r="GI1167" s="8"/>
      <c r="GJ1167" s="8"/>
      <c r="GK1167" s="8"/>
      <c r="GL1167" s="8"/>
      <c r="GM1167" s="8"/>
      <c r="GN1167" s="8"/>
      <c r="GO1167" s="8"/>
      <c r="GP1167" s="8"/>
      <c r="GQ1167" s="8"/>
      <c r="GR1167" s="8"/>
      <c r="GS1167" s="8"/>
      <c r="GT1167" s="8"/>
      <c r="GU1167" s="8"/>
      <c r="GV1167" s="8"/>
      <c r="GW1167" s="8"/>
      <c r="GX1167" s="8"/>
      <c r="GY1167" s="8"/>
      <c r="GZ1167" s="8"/>
      <c r="HA1167" s="8"/>
      <c r="HB1167" s="8"/>
      <c r="HC1167" s="8"/>
      <c r="HD1167" s="8"/>
      <c r="HE1167" s="8"/>
      <c r="HF1167" s="8"/>
      <c r="HG1167" s="8"/>
      <c r="HH1167" s="8"/>
      <c r="HI1167" s="8"/>
      <c r="HJ1167" s="8"/>
      <c r="HK1167" s="8"/>
      <c r="HL1167" s="8"/>
      <c r="HM1167" s="8"/>
      <c r="HN1167" s="8"/>
      <c r="HO1167" s="8"/>
      <c r="HP1167" s="8"/>
      <c r="HQ1167" s="8"/>
      <c r="HR1167" s="8"/>
      <c r="HS1167" s="8"/>
      <c r="HT1167" s="8"/>
      <c r="HU1167" s="8"/>
      <c r="HV1167" s="8"/>
      <c r="HW1167" s="8"/>
      <c r="HX1167" s="8"/>
      <c r="HY1167" s="8"/>
      <c r="HZ1167" s="8"/>
      <c r="IA1167" s="8"/>
      <c r="IB1167" s="8"/>
      <c r="IC1167" s="8"/>
      <c r="ID1167" s="8"/>
      <c r="IE1167" s="8"/>
      <c r="IF1167" s="8"/>
    </row>
    <row r="1168" spans="1:240" ht="30" customHeight="1">
      <c r="A1168" s="5">
        <v>1166</v>
      </c>
      <c r="B1168" s="5"/>
      <c r="C1168" s="5"/>
      <c r="D1168" s="5" t="s">
        <v>68</v>
      </c>
      <c r="E1168" s="5" t="s">
        <v>48</v>
      </c>
      <c r="F1168" s="5" t="s">
        <v>48</v>
      </c>
      <c r="G1168" s="5" t="s">
        <v>48</v>
      </c>
      <c r="H1168" s="15">
        <f>16440*0.454</f>
        <v>7463.76</v>
      </c>
      <c r="I1168" s="5" t="s">
        <v>13</v>
      </c>
      <c r="J1168" s="15">
        <f>(3*447)/4.4</f>
        <v>304.77272727272725</v>
      </c>
      <c r="K1168" s="15">
        <f t="shared" si="33"/>
        <v>5.5560000000000009</v>
      </c>
      <c r="L1168" s="5">
        <v>1572</v>
      </c>
      <c r="M1168" s="5">
        <f t="shared" si="34"/>
        <v>3.8800000000000026</v>
      </c>
      <c r="N1168" s="5"/>
      <c r="O1168" s="15">
        <f>99100*1.6978</f>
        <v>168251.98</v>
      </c>
      <c r="P1168" s="5"/>
      <c r="Q1168" s="5"/>
      <c r="R1168" s="5">
        <v>2</v>
      </c>
      <c r="S1168" s="5"/>
      <c r="T1168" s="5"/>
      <c r="U1168" s="5"/>
      <c r="V1168" s="5">
        <f>10*0.7457*R1168</f>
        <v>14.914000000000001</v>
      </c>
      <c r="W1168" s="5"/>
      <c r="X1168" s="5"/>
      <c r="Y1168" s="5" t="s">
        <v>48</v>
      </c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16" t="s">
        <v>48</v>
      </c>
      <c r="AN1168" s="5"/>
      <c r="AO1168" s="8"/>
      <c r="AP1168" s="8"/>
      <c r="AQ1168" s="8"/>
      <c r="AR1168" s="8"/>
      <c r="AS1168" s="8"/>
      <c r="AT1168" s="8"/>
      <c r="AU1168" s="8"/>
      <c r="AV1168" s="8"/>
      <c r="AW1168" s="8"/>
      <c r="AX1168" s="8"/>
      <c r="AY1168" s="8"/>
      <c r="AZ1168" s="8"/>
      <c r="BA1168" s="8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8"/>
      <c r="BS1168" s="8"/>
      <c r="BT1168" s="8"/>
      <c r="BU1168" s="8"/>
      <c r="BV1168" s="8"/>
      <c r="BW1168" s="8"/>
      <c r="BX1168" s="8"/>
      <c r="BY1168" s="8"/>
      <c r="BZ1168" s="8"/>
      <c r="CA1168" s="8"/>
      <c r="CB1168" s="8"/>
      <c r="CC1168" s="8"/>
      <c r="CD1168" s="8"/>
      <c r="CE1168" s="8"/>
      <c r="CF1168" s="8"/>
      <c r="CG1168" s="8"/>
      <c r="CH1168" s="8"/>
      <c r="CI1168" s="8"/>
      <c r="CJ1168" s="8"/>
      <c r="CK1168" s="8"/>
      <c r="CL1168" s="8"/>
      <c r="CM1168" s="8"/>
      <c r="CN1168" s="8"/>
      <c r="CO1168" s="8"/>
      <c r="CP1168" s="8"/>
      <c r="CQ1168" s="8"/>
      <c r="CR1168" s="8"/>
      <c r="CS1168" s="8"/>
      <c r="CT1168" s="8"/>
      <c r="CU1168" s="8"/>
      <c r="CV1168" s="8"/>
      <c r="CW1168" s="8"/>
      <c r="CX1168" s="8"/>
      <c r="CY1168" s="8"/>
      <c r="CZ1168" s="8"/>
      <c r="DA1168" s="8"/>
      <c r="DB1168" s="8"/>
      <c r="DC1168" s="8"/>
      <c r="DD1168" s="8"/>
      <c r="DE1168" s="8"/>
      <c r="DF1168" s="8"/>
      <c r="DG1168" s="8"/>
      <c r="DH1168" s="8"/>
      <c r="DI1168" s="8"/>
      <c r="DJ1168" s="8"/>
      <c r="DK1168" s="8"/>
      <c r="DL1168" s="8"/>
      <c r="DM1168" s="8"/>
      <c r="DN1168" s="8"/>
      <c r="DO1168" s="8"/>
      <c r="DP1168" s="8"/>
      <c r="DQ1168" s="8"/>
      <c r="DR1168" s="8"/>
      <c r="DS1168" s="8"/>
      <c r="DT1168" s="8"/>
      <c r="DU1168" s="8"/>
      <c r="DV1168" s="8"/>
      <c r="DW1168" s="8"/>
      <c r="DX1168" s="8"/>
      <c r="DY1168" s="8"/>
      <c r="DZ1168" s="8"/>
      <c r="EA1168" s="8"/>
      <c r="EB1168" s="8"/>
      <c r="EC1168" s="8"/>
      <c r="ED1168" s="8"/>
      <c r="EE1168" s="8"/>
      <c r="EF1168" s="8"/>
      <c r="EG1168" s="8"/>
      <c r="EH1168" s="8"/>
      <c r="EI1168" s="8"/>
      <c r="EJ1168" s="8"/>
      <c r="EK1168" s="8"/>
      <c r="EL1168" s="8"/>
      <c r="EM1168" s="8"/>
      <c r="EN1168" s="8"/>
      <c r="EO1168" s="8"/>
      <c r="EP1168" s="8"/>
      <c r="EQ1168" s="8"/>
      <c r="ER1168" s="8"/>
      <c r="ES1168" s="8"/>
      <c r="ET1168" s="8"/>
      <c r="EU1168" s="8"/>
      <c r="EV1168" s="8"/>
      <c r="EW1168" s="8"/>
      <c r="EX1168" s="8"/>
      <c r="EY1168" s="8"/>
      <c r="EZ1168" s="8"/>
      <c r="FA1168" s="8"/>
      <c r="FB1168" s="8"/>
      <c r="FC1168" s="8"/>
      <c r="FD1168" s="8"/>
      <c r="FE1168" s="8"/>
      <c r="FF1168" s="8"/>
      <c r="FG1168" s="8"/>
      <c r="FH1168" s="8"/>
      <c r="FI1168" s="8"/>
      <c r="FJ1168" s="8"/>
      <c r="FK1168" s="8"/>
      <c r="FL1168" s="8"/>
      <c r="FM1168" s="8"/>
      <c r="FN1168" s="8"/>
      <c r="FO1168" s="8"/>
      <c r="FP1168" s="8"/>
      <c r="FQ1168" s="8"/>
      <c r="FR1168" s="8"/>
      <c r="FS1168" s="8"/>
      <c r="FT1168" s="8"/>
      <c r="FU1168" s="8"/>
      <c r="FV1168" s="8"/>
      <c r="FW1168" s="8"/>
      <c r="FX1168" s="8"/>
      <c r="FY1168" s="8"/>
      <c r="FZ1168" s="8"/>
      <c r="GA1168" s="8"/>
      <c r="GB1168" s="8"/>
      <c r="GC1168" s="8"/>
      <c r="GD1168" s="8"/>
      <c r="GE1168" s="8"/>
      <c r="GF1168" s="8"/>
      <c r="GG1168" s="8"/>
      <c r="GH1168" s="8"/>
      <c r="GI1168" s="8"/>
      <c r="GJ1168" s="8"/>
      <c r="GK1168" s="8"/>
      <c r="GL1168" s="8"/>
      <c r="GM1168" s="8"/>
      <c r="GN1168" s="8"/>
      <c r="GO1168" s="8"/>
      <c r="GP1168" s="8"/>
      <c r="GQ1168" s="8"/>
      <c r="GR1168" s="8"/>
      <c r="GS1168" s="8"/>
      <c r="GT1168" s="8"/>
      <c r="GU1168" s="8"/>
      <c r="GV1168" s="8"/>
      <c r="GW1168" s="8"/>
      <c r="GX1168" s="8"/>
      <c r="GY1168" s="8"/>
      <c r="GZ1168" s="8"/>
      <c r="HA1168" s="8"/>
      <c r="HB1168" s="8"/>
      <c r="HC1168" s="8"/>
      <c r="HD1168" s="8"/>
      <c r="HE1168" s="8"/>
      <c r="HF1168" s="8"/>
      <c r="HG1168" s="8"/>
      <c r="HH1168" s="8"/>
      <c r="HI1168" s="8"/>
      <c r="HJ1168" s="8"/>
      <c r="HK1168" s="8"/>
      <c r="HL1168" s="8"/>
      <c r="HM1168" s="8"/>
      <c r="HN1168" s="8"/>
      <c r="HO1168" s="8"/>
      <c r="HP1168" s="8"/>
      <c r="HQ1168" s="8"/>
      <c r="HR1168" s="8"/>
      <c r="HS1168" s="8"/>
      <c r="HT1168" s="8"/>
      <c r="HU1168" s="8"/>
      <c r="HV1168" s="8"/>
      <c r="HW1168" s="8"/>
      <c r="HX1168" s="8"/>
      <c r="HY1168" s="8"/>
      <c r="HZ1168" s="8"/>
      <c r="IA1168" s="8"/>
      <c r="IB1168" s="8"/>
      <c r="IC1168" s="8"/>
      <c r="ID1168" s="8"/>
      <c r="IE1168" s="8"/>
      <c r="IF1168" s="8"/>
    </row>
    <row r="1169" spans="1:240" ht="30" customHeight="1">
      <c r="A1169" s="5">
        <v>1167</v>
      </c>
      <c r="B1169" s="5"/>
      <c r="C1169" s="5"/>
      <c r="D1169" s="5" t="s">
        <v>68</v>
      </c>
      <c r="E1169" s="5" t="s">
        <v>48</v>
      </c>
      <c r="F1169" s="5" t="s">
        <v>48</v>
      </c>
      <c r="G1169" s="5" t="s">
        <v>48</v>
      </c>
      <c r="H1169" s="15">
        <f>15940*0.454</f>
        <v>7236.76</v>
      </c>
      <c r="I1169" s="5" t="s">
        <v>13</v>
      </c>
      <c r="J1169" s="15">
        <f>(3*467)/4.4</f>
        <v>318.40909090909088</v>
      </c>
      <c r="K1169" s="15">
        <f t="shared" si="33"/>
        <v>5.5560000000000009</v>
      </c>
      <c r="L1169" s="5">
        <v>1642</v>
      </c>
      <c r="M1169" s="5">
        <f t="shared" si="34"/>
        <v>3.8800000000000026</v>
      </c>
      <c r="N1169" s="5"/>
      <c r="O1169" s="15">
        <f>114600*1.6978</f>
        <v>194567.88</v>
      </c>
      <c r="P1169" s="5"/>
      <c r="Q1169" s="5"/>
      <c r="R1169" s="5">
        <v>2</v>
      </c>
      <c r="S1169" s="5"/>
      <c r="T1169" s="5"/>
      <c r="U1169" s="5"/>
      <c r="V1169" s="5">
        <f>15*0.7457*R1169</f>
        <v>22.371000000000002</v>
      </c>
      <c r="W1169" s="5"/>
      <c r="X1169" s="5"/>
      <c r="Y1169" s="5" t="s">
        <v>48</v>
      </c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16" t="s">
        <v>48</v>
      </c>
      <c r="AN1169" s="5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8"/>
      <c r="BS1169" s="8"/>
      <c r="BT1169" s="8"/>
      <c r="BU1169" s="8"/>
      <c r="BV1169" s="8"/>
      <c r="BW1169" s="8"/>
      <c r="BX1169" s="8"/>
      <c r="BY1169" s="8"/>
      <c r="BZ1169" s="8"/>
      <c r="CA1169" s="8"/>
      <c r="CB1169" s="8"/>
      <c r="CC1169" s="8"/>
      <c r="CD1169" s="8"/>
      <c r="CE1169" s="8"/>
      <c r="CF1169" s="8"/>
      <c r="CG1169" s="8"/>
      <c r="CH1169" s="8"/>
      <c r="CI1169" s="8"/>
      <c r="CJ1169" s="8"/>
      <c r="CK1169" s="8"/>
      <c r="CL1169" s="8"/>
      <c r="CM1169" s="8"/>
      <c r="CN1169" s="8"/>
      <c r="CO1169" s="8"/>
      <c r="CP1169" s="8"/>
      <c r="CQ1169" s="8"/>
      <c r="CR1169" s="8"/>
      <c r="CS1169" s="8"/>
      <c r="CT1169" s="8"/>
      <c r="CU1169" s="8"/>
      <c r="CV1169" s="8"/>
      <c r="CW1169" s="8"/>
      <c r="CX1169" s="8"/>
      <c r="CY1169" s="8"/>
      <c r="CZ1169" s="8"/>
      <c r="DA1169" s="8"/>
      <c r="DB1169" s="8"/>
      <c r="DC1169" s="8"/>
      <c r="DD1169" s="8"/>
      <c r="DE1169" s="8"/>
      <c r="DF1169" s="8"/>
      <c r="DG1169" s="8"/>
      <c r="DH1169" s="8"/>
      <c r="DI1169" s="8"/>
      <c r="DJ1169" s="8"/>
      <c r="DK1169" s="8"/>
      <c r="DL1169" s="8"/>
      <c r="DM1169" s="8"/>
      <c r="DN1169" s="8"/>
      <c r="DO1169" s="8"/>
      <c r="DP1169" s="8"/>
      <c r="DQ1169" s="8"/>
      <c r="DR1169" s="8"/>
      <c r="DS1169" s="8"/>
      <c r="DT1169" s="8"/>
      <c r="DU1169" s="8"/>
      <c r="DV1169" s="8"/>
      <c r="DW1169" s="8"/>
      <c r="DX1169" s="8"/>
      <c r="DY1169" s="8"/>
      <c r="DZ1169" s="8"/>
      <c r="EA1169" s="8"/>
      <c r="EB1169" s="8"/>
      <c r="EC1169" s="8"/>
      <c r="ED1169" s="8"/>
      <c r="EE1169" s="8"/>
      <c r="EF1169" s="8"/>
      <c r="EG1169" s="8"/>
      <c r="EH1169" s="8"/>
      <c r="EI1169" s="8"/>
      <c r="EJ1169" s="8"/>
      <c r="EK1169" s="8"/>
      <c r="EL1169" s="8"/>
      <c r="EM1169" s="8"/>
      <c r="EN1169" s="8"/>
      <c r="EO1169" s="8"/>
      <c r="EP1169" s="8"/>
      <c r="EQ1169" s="8"/>
      <c r="ER1169" s="8"/>
      <c r="ES1169" s="8"/>
      <c r="ET1169" s="8"/>
      <c r="EU1169" s="8"/>
      <c r="EV1169" s="8"/>
      <c r="EW1169" s="8"/>
      <c r="EX1169" s="8"/>
      <c r="EY1169" s="8"/>
      <c r="EZ1169" s="8"/>
      <c r="FA1169" s="8"/>
      <c r="FB1169" s="8"/>
      <c r="FC1169" s="8"/>
      <c r="FD1169" s="8"/>
      <c r="FE1169" s="8"/>
      <c r="FF1169" s="8"/>
      <c r="FG1169" s="8"/>
      <c r="FH1169" s="8"/>
      <c r="FI1169" s="8"/>
      <c r="FJ1169" s="8"/>
      <c r="FK1169" s="8"/>
      <c r="FL1169" s="8"/>
      <c r="FM1169" s="8"/>
      <c r="FN1169" s="8"/>
      <c r="FO1169" s="8"/>
      <c r="FP1169" s="8"/>
      <c r="FQ1169" s="8"/>
      <c r="FR1169" s="8"/>
      <c r="FS1169" s="8"/>
      <c r="FT1169" s="8"/>
      <c r="FU1169" s="8"/>
      <c r="FV1169" s="8"/>
      <c r="FW1169" s="8"/>
      <c r="FX1169" s="8"/>
      <c r="FY1169" s="8"/>
      <c r="FZ1169" s="8"/>
      <c r="GA1169" s="8"/>
      <c r="GB1169" s="8"/>
      <c r="GC1169" s="8"/>
      <c r="GD1169" s="8"/>
      <c r="GE1169" s="8"/>
      <c r="GF1169" s="8"/>
      <c r="GG1169" s="8"/>
      <c r="GH1169" s="8"/>
      <c r="GI1169" s="8"/>
      <c r="GJ1169" s="8"/>
      <c r="GK1169" s="8"/>
      <c r="GL1169" s="8"/>
      <c r="GM1169" s="8"/>
      <c r="GN1169" s="8"/>
      <c r="GO1169" s="8"/>
      <c r="GP1169" s="8"/>
      <c r="GQ1169" s="8"/>
      <c r="GR1169" s="8"/>
      <c r="GS1169" s="8"/>
      <c r="GT1169" s="8"/>
      <c r="GU1169" s="8"/>
      <c r="GV1169" s="8"/>
      <c r="GW1169" s="8"/>
      <c r="GX1169" s="8"/>
      <c r="GY1169" s="8"/>
      <c r="GZ1169" s="8"/>
      <c r="HA1169" s="8"/>
      <c r="HB1169" s="8"/>
      <c r="HC1169" s="8"/>
      <c r="HD1169" s="8"/>
      <c r="HE1169" s="8"/>
      <c r="HF1169" s="8"/>
      <c r="HG1169" s="8"/>
      <c r="HH1169" s="8"/>
      <c r="HI1169" s="8"/>
      <c r="HJ1169" s="8"/>
      <c r="HK1169" s="8"/>
      <c r="HL1169" s="8"/>
      <c r="HM1169" s="8"/>
      <c r="HN1169" s="8"/>
      <c r="HO1169" s="8"/>
      <c r="HP1169" s="8"/>
      <c r="HQ1169" s="8"/>
      <c r="HR1169" s="8"/>
      <c r="HS1169" s="8"/>
      <c r="HT1169" s="8"/>
      <c r="HU1169" s="8"/>
      <c r="HV1169" s="8"/>
      <c r="HW1169" s="8"/>
      <c r="HX1169" s="8"/>
      <c r="HY1169" s="8"/>
      <c r="HZ1169" s="8"/>
      <c r="IA1169" s="8"/>
      <c r="IB1169" s="8"/>
      <c r="IC1169" s="8"/>
      <c r="ID1169" s="8"/>
      <c r="IE1169" s="8"/>
      <c r="IF1169" s="8"/>
    </row>
    <row r="1170" spans="1:240" ht="30" customHeight="1">
      <c r="A1170" s="5">
        <v>1168</v>
      </c>
      <c r="B1170" s="5"/>
      <c r="C1170" s="5"/>
      <c r="D1170" s="5" t="s">
        <v>68</v>
      </c>
      <c r="E1170" s="5" t="s">
        <v>48</v>
      </c>
      <c r="F1170" s="5" t="s">
        <v>48</v>
      </c>
      <c r="G1170" s="5" t="s">
        <v>48</v>
      </c>
      <c r="H1170" s="15">
        <f>17080*0.454</f>
        <v>7754.3200000000006</v>
      </c>
      <c r="I1170" s="5" t="s">
        <v>13</v>
      </c>
      <c r="J1170" s="15">
        <f>(3*444)/4.4</f>
        <v>302.72727272727269</v>
      </c>
      <c r="K1170" s="15">
        <f t="shared" si="33"/>
        <v>5.5560000000000009</v>
      </c>
      <c r="L1170" s="5">
        <v>1561.5</v>
      </c>
      <c r="M1170" s="5">
        <f t="shared" si="34"/>
        <v>3.8800000000000026</v>
      </c>
      <c r="N1170" s="5"/>
      <c r="O1170" s="15">
        <f>88900*1.6978</f>
        <v>150934.41999999998</v>
      </c>
      <c r="P1170" s="5"/>
      <c r="Q1170" s="5"/>
      <c r="R1170" s="5">
        <v>2</v>
      </c>
      <c r="S1170" s="5"/>
      <c r="T1170" s="5"/>
      <c r="U1170" s="5"/>
      <c r="V1170" s="5">
        <f>7.5*0.7457*R1170</f>
        <v>11.185500000000001</v>
      </c>
      <c r="W1170" s="5"/>
      <c r="X1170" s="5"/>
      <c r="Y1170" s="5" t="s">
        <v>48</v>
      </c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16" t="s">
        <v>48</v>
      </c>
      <c r="AN1170" s="5"/>
      <c r="AO1170" s="8"/>
      <c r="AP1170" s="8"/>
      <c r="AQ1170" s="8"/>
      <c r="AR1170" s="8"/>
      <c r="AS1170" s="8"/>
      <c r="AT1170" s="8"/>
      <c r="AU1170" s="8"/>
      <c r="AV1170" s="8"/>
      <c r="AW1170" s="8"/>
      <c r="AX1170" s="8"/>
      <c r="AY1170" s="8"/>
      <c r="AZ1170" s="8"/>
      <c r="BA1170" s="8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8"/>
      <c r="BS1170" s="8"/>
      <c r="BT1170" s="8"/>
      <c r="BU1170" s="8"/>
      <c r="BV1170" s="8"/>
      <c r="BW1170" s="8"/>
      <c r="BX1170" s="8"/>
      <c r="BY1170" s="8"/>
      <c r="BZ1170" s="8"/>
      <c r="CA1170" s="8"/>
      <c r="CB1170" s="8"/>
      <c r="CC1170" s="8"/>
      <c r="CD1170" s="8"/>
      <c r="CE1170" s="8"/>
      <c r="CF1170" s="8"/>
      <c r="CG1170" s="8"/>
      <c r="CH1170" s="8"/>
      <c r="CI1170" s="8"/>
      <c r="CJ1170" s="8"/>
      <c r="CK1170" s="8"/>
      <c r="CL1170" s="8"/>
      <c r="CM1170" s="8"/>
      <c r="CN1170" s="8"/>
      <c r="CO1170" s="8"/>
      <c r="CP1170" s="8"/>
      <c r="CQ1170" s="8"/>
      <c r="CR1170" s="8"/>
      <c r="CS1170" s="8"/>
      <c r="CT1170" s="8"/>
      <c r="CU1170" s="8"/>
      <c r="CV1170" s="8"/>
      <c r="CW1170" s="8"/>
      <c r="CX1170" s="8"/>
      <c r="CY1170" s="8"/>
      <c r="CZ1170" s="8"/>
      <c r="DA1170" s="8"/>
      <c r="DB1170" s="8"/>
      <c r="DC1170" s="8"/>
      <c r="DD1170" s="8"/>
      <c r="DE1170" s="8"/>
      <c r="DF1170" s="8"/>
      <c r="DG1170" s="8"/>
      <c r="DH1170" s="8"/>
      <c r="DI1170" s="8"/>
      <c r="DJ1170" s="8"/>
      <c r="DK1170" s="8"/>
      <c r="DL1170" s="8"/>
      <c r="DM1170" s="8"/>
      <c r="DN1170" s="8"/>
      <c r="DO1170" s="8"/>
      <c r="DP1170" s="8"/>
      <c r="DQ1170" s="8"/>
      <c r="DR1170" s="8"/>
      <c r="DS1170" s="8"/>
      <c r="DT1170" s="8"/>
      <c r="DU1170" s="8"/>
      <c r="DV1170" s="8"/>
      <c r="DW1170" s="8"/>
      <c r="DX1170" s="8"/>
      <c r="DY1170" s="8"/>
      <c r="DZ1170" s="8"/>
      <c r="EA1170" s="8"/>
      <c r="EB1170" s="8"/>
      <c r="EC1170" s="8"/>
      <c r="ED1170" s="8"/>
      <c r="EE1170" s="8"/>
      <c r="EF1170" s="8"/>
      <c r="EG1170" s="8"/>
      <c r="EH1170" s="8"/>
      <c r="EI1170" s="8"/>
      <c r="EJ1170" s="8"/>
      <c r="EK1170" s="8"/>
      <c r="EL1170" s="8"/>
      <c r="EM1170" s="8"/>
      <c r="EN1170" s="8"/>
      <c r="EO1170" s="8"/>
      <c r="EP1170" s="8"/>
      <c r="EQ1170" s="8"/>
      <c r="ER1170" s="8"/>
      <c r="ES1170" s="8"/>
      <c r="ET1170" s="8"/>
      <c r="EU1170" s="8"/>
      <c r="EV1170" s="8"/>
      <c r="EW1170" s="8"/>
      <c r="EX1170" s="8"/>
      <c r="EY1170" s="8"/>
      <c r="EZ1170" s="8"/>
      <c r="FA1170" s="8"/>
      <c r="FB1170" s="8"/>
      <c r="FC1170" s="8"/>
      <c r="FD1170" s="8"/>
      <c r="FE1170" s="8"/>
      <c r="FF1170" s="8"/>
      <c r="FG1170" s="8"/>
      <c r="FH1170" s="8"/>
      <c r="FI1170" s="8"/>
      <c r="FJ1170" s="8"/>
      <c r="FK1170" s="8"/>
      <c r="FL1170" s="8"/>
      <c r="FM1170" s="8"/>
      <c r="FN1170" s="8"/>
      <c r="FO1170" s="8"/>
      <c r="FP1170" s="8"/>
      <c r="FQ1170" s="8"/>
      <c r="FR1170" s="8"/>
      <c r="FS1170" s="8"/>
      <c r="FT1170" s="8"/>
      <c r="FU1170" s="8"/>
      <c r="FV1170" s="8"/>
      <c r="FW1170" s="8"/>
      <c r="FX1170" s="8"/>
      <c r="FY1170" s="8"/>
      <c r="FZ1170" s="8"/>
      <c r="GA1170" s="8"/>
      <c r="GB1170" s="8"/>
      <c r="GC1170" s="8"/>
      <c r="GD1170" s="8"/>
      <c r="GE1170" s="8"/>
      <c r="GF1170" s="8"/>
      <c r="GG1170" s="8"/>
      <c r="GH1170" s="8"/>
      <c r="GI1170" s="8"/>
      <c r="GJ1170" s="8"/>
      <c r="GK1170" s="8"/>
      <c r="GL1170" s="8"/>
      <c r="GM1170" s="8"/>
      <c r="GN1170" s="8"/>
      <c r="GO1170" s="8"/>
      <c r="GP1170" s="8"/>
      <c r="GQ1170" s="8"/>
      <c r="GR1170" s="8"/>
      <c r="GS1170" s="8"/>
      <c r="GT1170" s="8"/>
      <c r="GU1170" s="8"/>
      <c r="GV1170" s="8"/>
      <c r="GW1170" s="8"/>
      <c r="GX1170" s="8"/>
      <c r="GY1170" s="8"/>
      <c r="GZ1170" s="8"/>
      <c r="HA1170" s="8"/>
      <c r="HB1170" s="8"/>
      <c r="HC1170" s="8"/>
      <c r="HD1170" s="8"/>
      <c r="HE1170" s="8"/>
      <c r="HF1170" s="8"/>
      <c r="HG1170" s="8"/>
      <c r="HH1170" s="8"/>
      <c r="HI1170" s="8"/>
      <c r="HJ1170" s="8"/>
      <c r="HK1170" s="8"/>
      <c r="HL1170" s="8"/>
      <c r="HM1170" s="8"/>
      <c r="HN1170" s="8"/>
      <c r="HO1170" s="8"/>
      <c r="HP1170" s="8"/>
      <c r="HQ1170" s="8"/>
      <c r="HR1170" s="8"/>
      <c r="HS1170" s="8"/>
      <c r="HT1170" s="8"/>
      <c r="HU1170" s="8"/>
      <c r="HV1170" s="8"/>
      <c r="HW1170" s="8"/>
      <c r="HX1170" s="8"/>
      <c r="HY1170" s="8"/>
      <c r="HZ1170" s="8"/>
      <c r="IA1170" s="8"/>
      <c r="IB1170" s="8"/>
      <c r="IC1170" s="8"/>
      <c r="ID1170" s="8"/>
      <c r="IE1170" s="8"/>
      <c r="IF1170" s="8"/>
    </row>
    <row r="1171" spans="1:240" ht="30" customHeight="1">
      <c r="A1171" s="5">
        <v>1169</v>
      </c>
      <c r="B1171" s="5"/>
      <c r="C1171" s="5"/>
      <c r="D1171" s="5" t="s">
        <v>68</v>
      </c>
      <c r="E1171" s="5" t="s">
        <v>48</v>
      </c>
      <c r="F1171" s="5" t="s">
        <v>48</v>
      </c>
      <c r="G1171" s="5" t="s">
        <v>48</v>
      </c>
      <c r="H1171" s="15">
        <f>17140*0.454</f>
        <v>7781.56</v>
      </c>
      <c r="I1171" s="5" t="s">
        <v>13</v>
      </c>
      <c r="J1171" s="15">
        <f>(3*480)/4.4</f>
        <v>327.27272727272725</v>
      </c>
      <c r="K1171" s="15">
        <f t="shared" si="33"/>
        <v>5.5560000000000009</v>
      </c>
      <c r="L1171" s="5">
        <v>1688.1</v>
      </c>
      <c r="M1171" s="5">
        <f t="shared" si="34"/>
        <v>3.8800000000000026</v>
      </c>
      <c r="N1171" s="5"/>
      <c r="O1171" s="15">
        <f>97400*1.6978</f>
        <v>165365.72</v>
      </c>
      <c r="P1171" s="5"/>
      <c r="Q1171" s="5"/>
      <c r="R1171" s="5">
        <v>2</v>
      </c>
      <c r="S1171" s="5"/>
      <c r="T1171" s="5"/>
      <c r="U1171" s="5"/>
      <c r="V1171" s="5">
        <f>10*0.7457*R1171</f>
        <v>14.914000000000001</v>
      </c>
      <c r="W1171" s="5"/>
      <c r="X1171" s="5"/>
      <c r="Y1171" s="5" t="s">
        <v>48</v>
      </c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16" t="s">
        <v>48</v>
      </c>
      <c r="AN1171" s="5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8"/>
      <c r="BS1171" s="8"/>
      <c r="BT1171" s="8"/>
      <c r="BU1171" s="8"/>
      <c r="BV1171" s="8"/>
      <c r="BW1171" s="8"/>
      <c r="BX1171" s="8"/>
      <c r="BY1171" s="8"/>
      <c r="BZ1171" s="8"/>
      <c r="CA1171" s="8"/>
      <c r="CB1171" s="8"/>
      <c r="CC1171" s="8"/>
      <c r="CD1171" s="8"/>
      <c r="CE1171" s="8"/>
      <c r="CF1171" s="8"/>
      <c r="CG1171" s="8"/>
      <c r="CH1171" s="8"/>
      <c r="CI1171" s="8"/>
      <c r="CJ1171" s="8"/>
      <c r="CK1171" s="8"/>
      <c r="CL1171" s="8"/>
      <c r="CM1171" s="8"/>
      <c r="CN1171" s="8"/>
      <c r="CO1171" s="8"/>
      <c r="CP1171" s="8"/>
      <c r="CQ1171" s="8"/>
      <c r="CR1171" s="8"/>
      <c r="CS1171" s="8"/>
      <c r="CT1171" s="8"/>
      <c r="CU1171" s="8"/>
      <c r="CV1171" s="8"/>
      <c r="CW1171" s="8"/>
      <c r="CX1171" s="8"/>
      <c r="CY1171" s="8"/>
      <c r="CZ1171" s="8"/>
      <c r="DA1171" s="8"/>
      <c r="DB1171" s="8"/>
      <c r="DC1171" s="8"/>
      <c r="DD1171" s="8"/>
      <c r="DE1171" s="8"/>
      <c r="DF1171" s="8"/>
      <c r="DG1171" s="8"/>
      <c r="DH1171" s="8"/>
      <c r="DI1171" s="8"/>
      <c r="DJ1171" s="8"/>
      <c r="DK1171" s="8"/>
      <c r="DL1171" s="8"/>
      <c r="DM1171" s="8"/>
      <c r="DN1171" s="8"/>
      <c r="DO1171" s="8"/>
      <c r="DP1171" s="8"/>
      <c r="DQ1171" s="8"/>
      <c r="DR1171" s="8"/>
      <c r="DS1171" s="8"/>
      <c r="DT1171" s="8"/>
      <c r="DU1171" s="8"/>
      <c r="DV1171" s="8"/>
      <c r="DW1171" s="8"/>
      <c r="DX1171" s="8"/>
      <c r="DY1171" s="8"/>
      <c r="DZ1171" s="8"/>
      <c r="EA1171" s="8"/>
      <c r="EB1171" s="8"/>
      <c r="EC1171" s="8"/>
      <c r="ED1171" s="8"/>
      <c r="EE1171" s="8"/>
      <c r="EF1171" s="8"/>
      <c r="EG1171" s="8"/>
      <c r="EH1171" s="8"/>
      <c r="EI1171" s="8"/>
      <c r="EJ1171" s="8"/>
      <c r="EK1171" s="8"/>
      <c r="EL1171" s="8"/>
      <c r="EM1171" s="8"/>
      <c r="EN1171" s="8"/>
      <c r="EO1171" s="8"/>
      <c r="EP1171" s="8"/>
      <c r="EQ1171" s="8"/>
      <c r="ER1171" s="8"/>
      <c r="ES1171" s="8"/>
      <c r="ET1171" s="8"/>
      <c r="EU1171" s="8"/>
      <c r="EV1171" s="8"/>
      <c r="EW1171" s="8"/>
      <c r="EX1171" s="8"/>
      <c r="EY1171" s="8"/>
      <c r="EZ1171" s="8"/>
      <c r="FA1171" s="8"/>
      <c r="FB1171" s="8"/>
      <c r="FC1171" s="8"/>
      <c r="FD1171" s="8"/>
      <c r="FE1171" s="8"/>
      <c r="FF1171" s="8"/>
      <c r="FG1171" s="8"/>
      <c r="FH1171" s="8"/>
      <c r="FI1171" s="8"/>
      <c r="FJ1171" s="8"/>
      <c r="FK1171" s="8"/>
      <c r="FL1171" s="8"/>
      <c r="FM1171" s="8"/>
      <c r="FN1171" s="8"/>
      <c r="FO1171" s="8"/>
      <c r="FP1171" s="8"/>
      <c r="FQ1171" s="8"/>
      <c r="FR1171" s="8"/>
      <c r="FS1171" s="8"/>
      <c r="FT1171" s="8"/>
      <c r="FU1171" s="8"/>
      <c r="FV1171" s="8"/>
      <c r="FW1171" s="8"/>
      <c r="FX1171" s="8"/>
      <c r="FY1171" s="8"/>
      <c r="FZ1171" s="8"/>
      <c r="GA1171" s="8"/>
      <c r="GB1171" s="8"/>
      <c r="GC1171" s="8"/>
      <c r="GD1171" s="8"/>
      <c r="GE1171" s="8"/>
      <c r="GF1171" s="8"/>
      <c r="GG1171" s="8"/>
      <c r="GH1171" s="8"/>
      <c r="GI1171" s="8"/>
      <c r="GJ1171" s="8"/>
      <c r="GK1171" s="8"/>
      <c r="GL1171" s="8"/>
      <c r="GM1171" s="8"/>
      <c r="GN1171" s="8"/>
      <c r="GO1171" s="8"/>
      <c r="GP1171" s="8"/>
      <c r="GQ1171" s="8"/>
      <c r="GR1171" s="8"/>
      <c r="GS1171" s="8"/>
      <c r="GT1171" s="8"/>
      <c r="GU1171" s="8"/>
      <c r="GV1171" s="8"/>
      <c r="GW1171" s="8"/>
      <c r="GX1171" s="8"/>
      <c r="GY1171" s="8"/>
      <c r="GZ1171" s="8"/>
      <c r="HA1171" s="8"/>
      <c r="HB1171" s="8"/>
      <c r="HC1171" s="8"/>
      <c r="HD1171" s="8"/>
      <c r="HE1171" s="8"/>
      <c r="HF1171" s="8"/>
      <c r="HG1171" s="8"/>
      <c r="HH1171" s="8"/>
      <c r="HI1171" s="8"/>
      <c r="HJ1171" s="8"/>
      <c r="HK1171" s="8"/>
      <c r="HL1171" s="8"/>
      <c r="HM1171" s="8"/>
      <c r="HN1171" s="8"/>
      <c r="HO1171" s="8"/>
      <c r="HP1171" s="8"/>
      <c r="HQ1171" s="8"/>
      <c r="HR1171" s="8"/>
      <c r="HS1171" s="8"/>
      <c r="HT1171" s="8"/>
      <c r="HU1171" s="8"/>
      <c r="HV1171" s="8"/>
      <c r="HW1171" s="8"/>
      <c r="HX1171" s="8"/>
      <c r="HY1171" s="8"/>
      <c r="HZ1171" s="8"/>
      <c r="IA1171" s="8"/>
      <c r="IB1171" s="8"/>
      <c r="IC1171" s="8"/>
      <c r="ID1171" s="8"/>
      <c r="IE1171" s="8"/>
      <c r="IF1171" s="8"/>
    </row>
    <row r="1172" spans="1:240" ht="30" customHeight="1">
      <c r="A1172" s="5">
        <v>1170</v>
      </c>
      <c r="B1172" s="5"/>
      <c r="C1172" s="5"/>
      <c r="D1172" s="5" t="s">
        <v>68</v>
      </c>
      <c r="E1172" s="5" t="s">
        <v>48</v>
      </c>
      <c r="F1172" s="5" t="s">
        <v>48</v>
      </c>
      <c r="G1172" s="5" t="s">
        <v>48</v>
      </c>
      <c r="H1172" s="15">
        <f>16580*0.454</f>
        <v>7527.3200000000006</v>
      </c>
      <c r="I1172" s="5" t="s">
        <v>13</v>
      </c>
      <c r="J1172" s="15">
        <f>(3*516)/4.4</f>
        <v>351.81818181818181</v>
      </c>
      <c r="K1172" s="15">
        <f t="shared" si="33"/>
        <v>5.5560000000000009</v>
      </c>
      <c r="L1172" s="5">
        <v>1814.7</v>
      </c>
      <c r="M1172" s="5">
        <f t="shared" si="34"/>
        <v>3.8800000000000026</v>
      </c>
      <c r="N1172" s="5"/>
      <c r="O1172" s="15">
        <f>112500*1.6978</f>
        <v>191002.5</v>
      </c>
      <c r="P1172" s="5"/>
      <c r="Q1172" s="5"/>
      <c r="R1172" s="5">
        <v>2</v>
      </c>
      <c r="S1172" s="5"/>
      <c r="T1172" s="5"/>
      <c r="U1172" s="5"/>
      <c r="V1172" s="5">
        <f>15*0.7457*R1172</f>
        <v>22.371000000000002</v>
      </c>
      <c r="W1172" s="5"/>
      <c r="X1172" s="5"/>
      <c r="Y1172" s="5" t="s">
        <v>48</v>
      </c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16" t="s">
        <v>48</v>
      </c>
      <c r="AN1172" s="5"/>
      <c r="AO1172" s="8"/>
      <c r="AP1172" s="8"/>
      <c r="AQ1172" s="8"/>
      <c r="AR1172" s="8"/>
      <c r="AS1172" s="8"/>
      <c r="AT1172" s="8"/>
      <c r="AU1172" s="8"/>
      <c r="AV1172" s="8"/>
      <c r="AW1172" s="8"/>
      <c r="AX1172" s="8"/>
      <c r="AY1172" s="8"/>
      <c r="AZ1172" s="8"/>
      <c r="BA1172" s="8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8"/>
      <c r="BS1172" s="8"/>
      <c r="BT1172" s="8"/>
      <c r="BU1172" s="8"/>
      <c r="BV1172" s="8"/>
      <c r="BW1172" s="8"/>
      <c r="BX1172" s="8"/>
      <c r="BY1172" s="8"/>
      <c r="BZ1172" s="8"/>
      <c r="CA1172" s="8"/>
      <c r="CB1172" s="8"/>
      <c r="CC1172" s="8"/>
      <c r="CD1172" s="8"/>
      <c r="CE1172" s="8"/>
      <c r="CF1172" s="8"/>
      <c r="CG1172" s="8"/>
      <c r="CH1172" s="8"/>
      <c r="CI1172" s="8"/>
      <c r="CJ1172" s="8"/>
      <c r="CK1172" s="8"/>
      <c r="CL1172" s="8"/>
      <c r="CM1172" s="8"/>
      <c r="CN1172" s="8"/>
      <c r="CO1172" s="8"/>
      <c r="CP1172" s="8"/>
      <c r="CQ1172" s="8"/>
      <c r="CR1172" s="8"/>
      <c r="CS1172" s="8"/>
      <c r="CT1172" s="8"/>
      <c r="CU1172" s="8"/>
      <c r="CV1172" s="8"/>
      <c r="CW1172" s="8"/>
      <c r="CX1172" s="8"/>
      <c r="CY1172" s="8"/>
      <c r="CZ1172" s="8"/>
      <c r="DA1172" s="8"/>
      <c r="DB1172" s="8"/>
      <c r="DC1172" s="8"/>
      <c r="DD1172" s="8"/>
      <c r="DE1172" s="8"/>
      <c r="DF1172" s="8"/>
      <c r="DG1172" s="8"/>
      <c r="DH1172" s="8"/>
      <c r="DI1172" s="8"/>
      <c r="DJ1172" s="8"/>
      <c r="DK1172" s="8"/>
      <c r="DL1172" s="8"/>
      <c r="DM1172" s="8"/>
      <c r="DN1172" s="8"/>
      <c r="DO1172" s="8"/>
      <c r="DP1172" s="8"/>
      <c r="DQ1172" s="8"/>
      <c r="DR1172" s="8"/>
      <c r="DS1172" s="8"/>
      <c r="DT1172" s="8"/>
      <c r="DU1172" s="8"/>
      <c r="DV1172" s="8"/>
      <c r="DW1172" s="8"/>
      <c r="DX1172" s="8"/>
      <c r="DY1172" s="8"/>
      <c r="DZ1172" s="8"/>
      <c r="EA1172" s="8"/>
      <c r="EB1172" s="8"/>
      <c r="EC1172" s="8"/>
      <c r="ED1172" s="8"/>
      <c r="EE1172" s="8"/>
      <c r="EF1172" s="8"/>
      <c r="EG1172" s="8"/>
      <c r="EH1172" s="8"/>
      <c r="EI1172" s="8"/>
      <c r="EJ1172" s="8"/>
      <c r="EK1172" s="8"/>
      <c r="EL1172" s="8"/>
      <c r="EM1172" s="8"/>
      <c r="EN1172" s="8"/>
      <c r="EO1172" s="8"/>
      <c r="EP1172" s="8"/>
      <c r="EQ1172" s="8"/>
      <c r="ER1172" s="8"/>
      <c r="ES1172" s="8"/>
      <c r="ET1172" s="8"/>
      <c r="EU1172" s="8"/>
      <c r="EV1172" s="8"/>
      <c r="EW1172" s="8"/>
      <c r="EX1172" s="8"/>
      <c r="EY1172" s="8"/>
      <c r="EZ1172" s="8"/>
      <c r="FA1172" s="8"/>
      <c r="FB1172" s="8"/>
      <c r="FC1172" s="8"/>
      <c r="FD1172" s="8"/>
      <c r="FE1172" s="8"/>
      <c r="FF1172" s="8"/>
      <c r="FG1172" s="8"/>
      <c r="FH1172" s="8"/>
      <c r="FI1172" s="8"/>
      <c r="FJ1172" s="8"/>
      <c r="FK1172" s="8"/>
      <c r="FL1172" s="8"/>
      <c r="FM1172" s="8"/>
      <c r="FN1172" s="8"/>
      <c r="FO1172" s="8"/>
      <c r="FP1172" s="8"/>
      <c r="FQ1172" s="8"/>
      <c r="FR1172" s="8"/>
      <c r="FS1172" s="8"/>
      <c r="FT1172" s="8"/>
      <c r="FU1172" s="8"/>
      <c r="FV1172" s="8"/>
      <c r="FW1172" s="8"/>
      <c r="FX1172" s="8"/>
      <c r="FY1172" s="8"/>
      <c r="FZ1172" s="8"/>
      <c r="GA1172" s="8"/>
      <c r="GB1172" s="8"/>
      <c r="GC1172" s="8"/>
      <c r="GD1172" s="8"/>
      <c r="GE1172" s="8"/>
      <c r="GF1172" s="8"/>
      <c r="GG1172" s="8"/>
      <c r="GH1172" s="8"/>
      <c r="GI1172" s="8"/>
      <c r="GJ1172" s="8"/>
      <c r="GK1172" s="8"/>
      <c r="GL1172" s="8"/>
      <c r="GM1172" s="8"/>
      <c r="GN1172" s="8"/>
      <c r="GO1172" s="8"/>
      <c r="GP1172" s="8"/>
      <c r="GQ1172" s="8"/>
      <c r="GR1172" s="8"/>
      <c r="GS1172" s="8"/>
      <c r="GT1172" s="8"/>
      <c r="GU1172" s="8"/>
      <c r="GV1172" s="8"/>
      <c r="GW1172" s="8"/>
      <c r="GX1172" s="8"/>
      <c r="GY1172" s="8"/>
      <c r="GZ1172" s="8"/>
      <c r="HA1172" s="8"/>
      <c r="HB1172" s="8"/>
      <c r="HC1172" s="8"/>
      <c r="HD1172" s="8"/>
      <c r="HE1172" s="8"/>
      <c r="HF1172" s="8"/>
      <c r="HG1172" s="8"/>
      <c r="HH1172" s="8"/>
      <c r="HI1172" s="8"/>
      <c r="HJ1172" s="8"/>
      <c r="HK1172" s="8"/>
      <c r="HL1172" s="8"/>
      <c r="HM1172" s="8"/>
      <c r="HN1172" s="8"/>
      <c r="HO1172" s="8"/>
      <c r="HP1172" s="8"/>
      <c r="HQ1172" s="8"/>
      <c r="HR1172" s="8"/>
      <c r="HS1172" s="8"/>
      <c r="HT1172" s="8"/>
      <c r="HU1172" s="8"/>
      <c r="HV1172" s="8"/>
      <c r="HW1172" s="8"/>
      <c r="HX1172" s="8"/>
      <c r="HY1172" s="8"/>
      <c r="HZ1172" s="8"/>
      <c r="IA1172" s="8"/>
      <c r="IB1172" s="8"/>
      <c r="IC1172" s="8"/>
      <c r="ID1172" s="8"/>
      <c r="IE1172" s="8"/>
      <c r="IF1172" s="8"/>
    </row>
    <row r="1173" spans="1:240" ht="30" customHeight="1">
      <c r="A1173" s="5">
        <v>1171</v>
      </c>
      <c r="B1173" s="5"/>
      <c r="C1173" s="5"/>
      <c r="D1173" s="5" t="s">
        <v>68</v>
      </c>
      <c r="E1173" s="5" t="s">
        <v>48</v>
      </c>
      <c r="F1173" s="5" t="s">
        <v>48</v>
      </c>
      <c r="G1173" s="5" t="s">
        <v>48</v>
      </c>
      <c r="H1173" s="15">
        <f>17280*0.454</f>
        <v>7845.12</v>
      </c>
      <c r="I1173" s="5" t="s">
        <v>13</v>
      </c>
      <c r="J1173" s="15">
        <f>(3*545)/4.4</f>
        <v>371.59090909090907</v>
      </c>
      <c r="K1173" s="15">
        <f t="shared" si="33"/>
        <v>5.5560000000000009</v>
      </c>
      <c r="L1173" s="5">
        <v>1916.7</v>
      </c>
      <c r="M1173" s="5">
        <f t="shared" si="34"/>
        <v>3.8800000000000026</v>
      </c>
      <c r="N1173" s="5"/>
      <c r="O1173" s="15">
        <f>110600*1.6978</f>
        <v>187776.68</v>
      </c>
      <c r="P1173" s="5"/>
      <c r="Q1173" s="5"/>
      <c r="R1173" s="5">
        <v>2</v>
      </c>
      <c r="S1173" s="5"/>
      <c r="T1173" s="5"/>
      <c r="U1173" s="5"/>
      <c r="V1173" s="5">
        <f>15*0.7457*R1173</f>
        <v>22.371000000000002</v>
      </c>
      <c r="W1173" s="5"/>
      <c r="X1173" s="5"/>
      <c r="Y1173" s="5" t="s">
        <v>48</v>
      </c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16" t="s">
        <v>48</v>
      </c>
      <c r="AN1173" s="5"/>
      <c r="AO1173" s="8"/>
      <c r="AP1173" s="8"/>
      <c r="AQ1173" s="8"/>
      <c r="AR1173" s="8"/>
      <c r="AS1173" s="8"/>
      <c r="AT1173" s="8"/>
      <c r="AU1173" s="8"/>
      <c r="AV1173" s="8"/>
      <c r="AW1173" s="8"/>
      <c r="AX1173" s="8"/>
      <c r="AY1173" s="8"/>
      <c r="AZ1173" s="8"/>
      <c r="BA1173" s="8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8"/>
      <c r="BS1173" s="8"/>
      <c r="BT1173" s="8"/>
      <c r="BU1173" s="8"/>
      <c r="BV1173" s="8"/>
      <c r="BW1173" s="8"/>
      <c r="BX1173" s="8"/>
      <c r="BY1173" s="8"/>
      <c r="BZ1173" s="8"/>
      <c r="CA1173" s="8"/>
      <c r="CB1173" s="8"/>
      <c r="CC1173" s="8"/>
      <c r="CD1173" s="8"/>
      <c r="CE1173" s="8"/>
      <c r="CF1173" s="8"/>
      <c r="CG1173" s="8"/>
      <c r="CH1173" s="8"/>
      <c r="CI1173" s="8"/>
      <c r="CJ1173" s="8"/>
      <c r="CK1173" s="8"/>
      <c r="CL1173" s="8"/>
      <c r="CM1173" s="8"/>
      <c r="CN1173" s="8"/>
      <c r="CO1173" s="8"/>
      <c r="CP1173" s="8"/>
      <c r="CQ1173" s="8"/>
      <c r="CR1173" s="8"/>
      <c r="CS1173" s="8"/>
      <c r="CT1173" s="8"/>
      <c r="CU1173" s="8"/>
      <c r="CV1173" s="8"/>
      <c r="CW1173" s="8"/>
      <c r="CX1173" s="8"/>
      <c r="CY1173" s="8"/>
      <c r="CZ1173" s="8"/>
      <c r="DA1173" s="8"/>
      <c r="DB1173" s="8"/>
      <c r="DC1173" s="8"/>
      <c r="DD1173" s="8"/>
      <c r="DE1173" s="8"/>
      <c r="DF1173" s="8"/>
      <c r="DG1173" s="8"/>
      <c r="DH1173" s="8"/>
      <c r="DI1173" s="8"/>
      <c r="DJ1173" s="8"/>
      <c r="DK1173" s="8"/>
      <c r="DL1173" s="8"/>
      <c r="DM1173" s="8"/>
      <c r="DN1173" s="8"/>
      <c r="DO1173" s="8"/>
      <c r="DP1173" s="8"/>
      <c r="DQ1173" s="8"/>
      <c r="DR1173" s="8"/>
      <c r="DS1173" s="8"/>
      <c r="DT1173" s="8"/>
      <c r="DU1173" s="8"/>
      <c r="DV1173" s="8"/>
      <c r="DW1173" s="8"/>
      <c r="DX1173" s="8"/>
      <c r="DY1173" s="8"/>
      <c r="DZ1173" s="8"/>
      <c r="EA1173" s="8"/>
      <c r="EB1173" s="8"/>
      <c r="EC1173" s="8"/>
      <c r="ED1173" s="8"/>
      <c r="EE1173" s="8"/>
      <c r="EF1173" s="8"/>
      <c r="EG1173" s="8"/>
      <c r="EH1173" s="8"/>
      <c r="EI1173" s="8"/>
      <c r="EJ1173" s="8"/>
      <c r="EK1173" s="8"/>
      <c r="EL1173" s="8"/>
      <c r="EM1173" s="8"/>
      <c r="EN1173" s="8"/>
      <c r="EO1173" s="8"/>
      <c r="EP1173" s="8"/>
      <c r="EQ1173" s="8"/>
      <c r="ER1173" s="8"/>
      <c r="ES1173" s="8"/>
      <c r="ET1173" s="8"/>
      <c r="EU1173" s="8"/>
      <c r="EV1173" s="8"/>
      <c r="EW1173" s="8"/>
      <c r="EX1173" s="8"/>
      <c r="EY1173" s="8"/>
      <c r="EZ1173" s="8"/>
      <c r="FA1173" s="8"/>
      <c r="FB1173" s="8"/>
      <c r="FC1173" s="8"/>
      <c r="FD1173" s="8"/>
      <c r="FE1173" s="8"/>
      <c r="FF1173" s="8"/>
      <c r="FG1173" s="8"/>
      <c r="FH1173" s="8"/>
      <c r="FI1173" s="8"/>
      <c r="FJ1173" s="8"/>
      <c r="FK1173" s="8"/>
      <c r="FL1173" s="8"/>
      <c r="FM1173" s="8"/>
      <c r="FN1173" s="8"/>
      <c r="FO1173" s="8"/>
      <c r="FP1173" s="8"/>
      <c r="FQ1173" s="8"/>
      <c r="FR1173" s="8"/>
      <c r="FS1173" s="8"/>
      <c r="FT1173" s="8"/>
      <c r="FU1173" s="8"/>
      <c r="FV1173" s="8"/>
      <c r="FW1173" s="8"/>
      <c r="FX1173" s="8"/>
      <c r="FY1173" s="8"/>
      <c r="FZ1173" s="8"/>
      <c r="GA1173" s="8"/>
      <c r="GB1173" s="8"/>
      <c r="GC1173" s="8"/>
      <c r="GD1173" s="8"/>
      <c r="GE1173" s="8"/>
      <c r="GF1173" s="8"/>
      <c r="GG1173" s="8"/>
      <c r="GH1173" s="8"/>
      <c r="GI1173" s="8"/>
      <c r="GJ1173" s="8"/>
      <c r="GK1173" s="8"/>
      <c r="GL1173" s="8"/>
      <c r="GM1173" s="8"/>
      <c r="GN1173" s="8"/>
      <c r="GO1173" s="8"/>
      <c r="GP1173" s="8"/>
      <c r="GQ1173" s="8"/>
      <c r="GR1173" s="8"/>
      <c r="GS1173" s="8"/>
      <c r="GT1173" s="8"/>
      <c r="GU1173" s="8"/>
      <c r="GV1173" s="8"/>
      <c r="GW1173" s="8"/>
      <c r="GX1173" s="8"/>
      <c r="GY1173" s="8"/>
      <c r="GZ1173" s="8"/>
      <c r="HA1173" s="8"/>
      <c r="HB1173" s="8"/>
      <c r="HC1173" s="8"/>
      <c r="HD1173" s="8"/>
      <c r="HE1173" s="8"/>
      <c r="HF1173" s="8"/>
      <c r="HG1173" s="8"/>
      <c r="HH1173" s="8"/>
      <c r="HI1173" s="8"/>
      <c r="HJ1173" s="8"/>
      <c r="HK1173" s="8"/>
      <c r="HL1173" s="8"/>
      <c r="HM1173" s="8"/>
      <c r="HN1173" s="8"/>
      <c r="HO1173" s="8"/>
      <c r="HP1173" s="8"/>
      <c r="HQ1173" s="8"/>
      <c r="HR1173" s="8"/>
      <c r="HS1173" s="8"/>
      <c r="HT1173" s="8"/>
      <c r="HU1173" s="8"/>
      <c r="HV1173" s="8"/>
      <c r="HW1173" s="8"/>
      <c r="HX1173" s="8"/>
      <c r="HY1173" s="8"/>
      <c r="HZ1173" s="8"/>
      <c r="IA1173" s="8"/>
      <c r="IB1173" s="8"/>
      <c r="IC1173" s="8"/>
      <c r="ID1173" s="8"/>
      <c r="IE1173" s="8"/>
      <c r="IF1173" s="8"/>
    </row>
    <row r="1174" spans="1:240" ht="30" customHeight="1">
      <c r="A1174" s="5">
        <v>1172</v>
      </c>
      <c r="B1174" s="5"/>
      <c r="C1174" s="5"/>
      <c r="D1174" s="5" t="s">
        <v>68</v>
      </c>
      <c r="E1174" s="5" t="s">
        <v>48</v>
      </c>
      <c r="F1174" s="5" t="s">
        <v>48</v>
      </c>
      <c r="G1174" s="5" t="s">
        <v>48</v>
      </c>
      <c r="H1174" s="15">
        <f>16680*0.454</f>
        <v>7572.72</v>
      </c>
      <c r="I1174" s="5" t="s">
        <v>13</v>
      </c>
      <c r="J1174" s="15">
        <f>(3*576)/4.4</f>
        <v>392.72727272727269</v>
      </c>
      <c r="K1174" s="15">
        <f t="shared" si="33"/>
        <v>5.5560000000000009</v>
      </c>
      <c r="L1174" s="5">
        <v>2025.7</v>
      </c>
      <c r="M1174" s="5">
        <f t="shared" si="34"/>
        <v>3.8800000000000026</v>
      </c>
      <c r="N1174" s="5"/>
      <c r="O1174" s="15">
        <f>123000*1.6978</f>
        <v>208829.4</v>
      </c>
      <c r="P1174" s="5"/>
      <c r="Q1174" s="5"/>
      <c r="R1174" s="5">
        <v>2</v>
      </c>
      <c r="S1174" s="5"/>
      <c r="T1174" s="5"/>
      <c r="U1174" s="5"/>
      <c r="V1174" s="5">
        <f>20*0.7457*R1174</f>
        <v>29.828000000000003</v>
      </c>
      <c r="W1174" s="5"/>
      <c r="X1174" s="5"/>
      <c r="Y1174" s="5" t="s">
        <v>48</v>
      </c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16" t="s">
        <v>48</v>
      </c>
      <c r="AN1174" s="5"/>
      <c r="AO1174" s="8"/>
      <c r="AP1174" s="8"/>
      <c r="AQ1174" s="8"/>
      <c r="AR1174" s="8"/>
      <c r="AS1174" s="8"/>
      <c r="AT1174" s="8"/>
      <c r="AU1174" s="8"/>
      <c r="AV1174" s="8"/>
      <c r="AW1174" s="8"/>
      <c r="AX1174" s="8"/>
      <c r="AY1174" s="8"/>
      <c r="AZ1174" s="8"/>
      <c r="BA1174" s="8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8"/>
      <c r="BS1174" s="8"/>
      <c r="BT1174" s="8"/>
      <c r="BU1174" s="8"/>
      <c r="BV1174" s="8"/>
      <c r="BW1174" s="8"/>
      <c r="BX1174" s="8"/>
      <c r="BY1174" s="8"/>
      <c r="BZ1174" s="8"/>
      <c r="CA1174" s="8"/>
      <c r="CB1174" s="8"/>
      <c r="CC1174" s="8"/>
      <c r="CD1174" s="8"/>
      <c r="CE1174" s="8"/>
      <c r="CF1174" s="8"/>
      <c r="CG1174" s="8"/>
      <c r="CH1174" s="8"/>
      <c r="CI1174" s="8"/>
      <c r="CJ1174" s="8"/>
      <c r="CK1174" s="8"/>
      <c r="CL1174" s="8"/>
      <c r="CM1174" s="8"/>
      <c r="CN1174" s="8"/>
      <c r="CO1174" s="8"/>
      <c r="CP1174" s="8"/>
      <c r="CQ1174" s="8"/>
      <c r="CR1174" s="8"/>
      <c r="CS1174" s="8"/>
      <c r="CT1174" s="8"/>
      <c r="CU1174" s="8"/>
      <c r="CV1174" s="8"/>
      <c r="CW1174" s="8"/>
      <c r="CX1174" s="8"/>
      <c r="CY1174" s="8"/>
      <c r="CZ1174" s="8"/>
      <c r="DA1174" s="8"/>
      <c r="DB1174" s="8"/>
      <c r="DC1174" s="8"/>
      <c r="DD1174" s="8"/>
      <c r="DE1174" s="8"/>
      <c r="DF1174" s="8"/>
      <c r="DG1174" s="8"/>
      <c r="DH1174" s="8"/>
      <c r="DI1174" s="8"/>
      <c r="DJ1174" s="8"/>
      <c r="DK1174" s="8"/>
      <c r="DL1174" s="8"/>
      <c r="DM1174" s="8"/>
      <c r="DN1174" s="8"/>
      <c r="DO1174" s="8"/>
      <c r="DP1174" s="8"/>
      <c r="DQ1174" s="8"/>
      <c r="DR1174" s="8"/>
      <c r="DS1174" s="8"/>
      <c r="DT1174" s="8"/>
      <c r="DU1174" s="8"/>
      <c r="DV1174" s="8"/>
      <c r="DW1174" s="8"/>
      <c r="DX1174" s="8"/>
      <c r="DY1174" s="8"/>
      <c r="DZ1174" s="8"/>
      <c r="EA1174" s="8"/>
      <c r="EB1174" s="8"/>
      <c r="EC1174" s="8"/>
      <c r="ED1174" s="8"/>
      <c r="EE1174" s="8"/>
      <c r="EF1174" s="8"/>
      <c r="EG1174" s="8"/>
      <c r="EH1174" s="8"/>
      <c r="EI1174" s="8"/>
      <c r="EJ1174" s="8"/>
      <c r="EK1174" s="8"/>
      <c r="EL1174" s="8"/>
      <c r="EM1174" s="8"/>
      <c r="EN1174" s="8"/>
      <c r="EO1174" s="8"/>
      <c r="EP1174" s="8"/>
      <c r="EQ1174" s="8"/>
      <c r="ER1174" s="8"/>
      <c r="ES1174" s="8"/>
      <c r="ET1174" s="8"/>
      <c r="EU1174" s="8"/>
      <c r="EV1174" s="8"/>
      <c r="EW1174" s="8"/>
      <c r="EX1174" s="8"/>
      <c r="EY1174" s="8"/>
      <c r="EZ1174" s="8"/>
      <c r="FA1174" s="8"/>
      <c r="FB1174" s="8"/>
      <c r="FC1174" s="8"/>
      <c r="FD1174" s="8"/>
      <c r="FE1174" s="8"/>
      <c r="FF1174" s="8"/>
      <c r="FG1174" s="8"/>
      <c r="FH1174" s="8"/>
      <c r="FI1174" s="8"/>
      <c r="FJ1174" s="8"/>
      <c r="FK1174" s="8"/>
      <c r="FL1174" s="8"/>
      <c r="FM1174" s="8"/>
      <c r="FN1174" s="8"/>
      <c r="FO1174" s="8"/>
      <c r="FP1174" s="8"/>
      <c r="FQ1174" s="8"/>
      <c r="FR1174" s="8"/>
      <c r="FS1174" s="8"/>
      <c r="FT1174" s="8"/>
      <c r="FU1174" s="8"/>
      <c r="FV1174" s="8"/>
      <c r="FW1174" s="8"/>
      <c r="FX1174" s="8"/>
      <c r="FY1174" s="8"/>
      <c r="FZ1174" s="8"/>
      <c r="GA1174" s="8"/>
      <c r="GB1174" s="8"/>
      <c r="GC1174" s="8"/>
      <c r="GD1174" s="8"/>
      <c r="GE1174" s="8"/>
      <c r="GF1174" s="8"/>
      <c r="GG1174" s="8"/>
      <c r="GH1174" s="8"/>
      <c r="GI1174" s="8"/>
      <c r="GJ1174" s="8"/>
      <c r="GK1174" s="8"/>
      <c r="GL1174" s="8"/>
      <c r="GM1174" s="8"/>
      <c r="GN1174" s="8"/>
      <c r="GO1174" s="8"/>
      <c r="GP1174" s="8"/>
      <c r="GQ1174" s="8"/>
      <c r="GR1174" s="8"/>
      <c r="GS1174" s="8"/>
      <c r="GT1174" s="8"/>
      <c r="GU1174" s="8"/>
      <c r="GV1174" s="8"/>
      <c r="GW1174" s="8"/>
      <c r="GX1174" s="8"/>
      <c r="GY1174" s="8"/>
      <c r="GZ1174" s="8"/>
      <c r="HA1174" s="8"/>
      <c r="HB1174" s="8"/>
      <c r="HC1174" s="8"/>
      <c r="HD1174" s="8"/>
      <c r="HE1174" s="8"/>
      <c r="HF1174" s="8"/>
      <c r="HG1174" s="8"/>
      <c r="HH1174" s="8"/>
      <c r="HI1174" s="8"/>
      <c r="HJ1174" s="8"/>
      <c r="HK1174" s="8"/>
      <c r="HL1174" s="8"/>
      <c r="HM1174" s="8"/>
      <c r="HN1174" s="8"/>
      <c r="HO1174" s="8"/>
      <c r="HP1174" s="8"/>
      <c r="HQ1174" s="8"/>
      <c r="HR1174" s="8"/>
      <c r="HS1174" s="8"/>
      <c r="HT1174" s="8"/>
      <c r="HU1174" s="8"/>
      <c r="HV1174" s="8"/>
      <c r="HW1174" s="8"/>
      <c r="HX1174" s="8"/>
      <c r="HY1174" s="8"/>
      <c r="HZ1174" s="8"/>
      <c r="IA1174" s="8"/>
      <c r="IB1174" s="8"/>
      <c r="IC1174" s="8"/>
      <c r="ID1174" s="8"/>
      <c r="IE1174" s="8"/>
      <c r="IF1174" s="8"/>
    </row>
    <row r="1175" spans="1:240" ht="30" customHeight="1">
      <c r="A1175" s="5">
        <v>1173</v>
      </c>
      <c r="B1175" s="5"/>
      <c r="C1175" s="5"/>
      <c r="D1175" s="5" t="s">
        <v>68</v>
      </c>
      <c r="E1175" s="5" t="s">
        <v>48</v>
      </c>
      <c r="F1175" s="5" t="s">
        <v>48</v>
      </c>
      <c r="G1175" s="5" t="s">
        <v>48</v>
      </c>
      <c r="H1175" s="15">
        <f>17440*0.454</f>
        <v>7917.76</v>
      </c>
      <c r="I1175" s="5" t="s">
        <v>13</v>
      </c>
      <c r="J1175" s="15">
        <f>(3*634)/4.4</f>
        <v>432.27272727272725</v>
      </c>
      <c r="K1175" s="15">
        <f t="shared" si="33"/>
        <v>5.5560000000000009</v>
      </c>
      <c r="L1175" s="5">
        <v>2229.6999999999998</v>
      </c>
      <c r="M1175" s="5">
        <f t="shared" si="34"/>
        <v>3.8800000000000026</v>
      </c>
      <c r="N1175" s="5"/>
      <c r="O1175" s="15">
        <f>129700*1.6978</f>
        <v>220204.66</v>
      </c>
      <c r="P1175" s="5"/>
      <c r="Q1175" s="5"/>
      <c r="R1175" s="5">
        <v>2</v>
      </c>
      <c r="S1175" s="5"/>
      <c r="T1175" s="5"/>
      <c r="U1175" s="5"/>
      <c r="V1175" s="5">
        <f>25*0.7457*R1175</f>
        <v>37.285000000000004</v>
      </c>
      <c r="W1175" s="5"/>
      <c r="X1175" s="5"/>
      <c r="Y1175" s="5" t="s">
        <v>48</v>
      </c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16" t="s">
        <v>48</v>
      </c>
      <c r="AN1175" s="5"/>
      <c r="AO1175" s="8"/>
      <c r="AP1175" s="8"/>
      <c r="AQ1175" s="8"/>
      <c r="AR1175" s="8"/>
      <c r="AS1175" s="8"/>
      <c r="AT1175" s="8"/>
      <c r="AU1175" s="8"/>
      <c r="AV1175" s="8"/>
      <c r="AW1175" s="8"/>
      <c r="AX1175" s="8"/>
      <c r="AY1175" s="8"/>
      <c r="AZ1175" s="8"/>
      <c r="BA1175" s="8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8"/>
      <c r="BS1175" s="8"/>
      <c r="BT1175" s="8"/>
      <c r="BU1175" s="8"/>
      <c r="BV1175" s="8"/>
      <c r="BW1175" s="8"/>
      <c r="BX1175" s="8"/>
      <c r="BY1175" s="8"/>
      <c r="BZ1175" s="8"/>
      <c r="CA1175" s="8"/>
      <c r="CB1175" s="8"/>
      <c r="CC1175" s="8"/>
      <c r="CD1175" s="8"/>
      <c r="CE1175" s="8"/>
      <c r="CF1175" s="8"/>
      <c r="CG1175" s="8"/>
      <c r="CH1175" s="8"/>
      <c r="CI1175" s="8"/>
      <c r="CJ1175" s="8"/>
      <c r="CK1175" s="8"/>
      <c r="CL1175" s="8"/>
      <c r="CM1175" s="8"/>
      <c r="CN1175" s="8"/>
      <c r="CO1175" s="8"/>
      <c r="CP1175" s="8"/>
      <c r="CQ1175" s="8"/>
      <c r="CR1175" s="8"/>
      <c r="CS1175" s="8"/>
      <c r="CT1175" s="8"/>
      <c r="CU1175" s="8"/>
      <c r="CV1175" s="8"/>
      <c r="CW1175" s="8"/>
      <c r="CX1175" s="8"/>
      <c r="CY1175" s="8"/>
      <c r="CZ1175" s="8"/>
      <c r="DA1175" s="8"/>
      <c r="DB1175" s="8"/>
      <c r="DC1175" s="8"/>
      <c r="DD1175" s="8"/>
      <c r="DE1175" s="8"/>
      <c r="DF1175" s="8"/>
      <c r="DG1175" s="8"/>
      <c r="DH1175" s="8"/>
      <c r="DI1175" s="8"/>
      <c r="DJ1175" s="8"/>
      <c r="DK1175" s="8"/>
      <c r="DL1175" s="8"/>
      <c r="DM1175" s="8"/>
      <c r="DN1175" s="8"/>
      <c r="DO1175" s="8"/>
      <c r="DP1175" s="8"/>
      <c r="DQ1175" s="8"/>
      <c r="DR1175" s="8"/>
      <c r="DS1175" s="8"/>
      <c r="DT1175" s="8"/>
      <c r="DU1175" s="8"/>
      <c r="DV1175" s="8"/>
      <c r="DW1175" s="8"/>
      <c r="DX1175" s="8"/>
      <c r="DY1175" s="8"/>
      <c r="DZ1175" s="8"/>
      <c r="EA1175" s="8"/>
      <c r="EB1175" s="8"/>
      <c r="EC1175" s="8"/>
      <c r="ED1175" s="8"/>
      <c r="EE1175" s="8"/>
      <c r="EF1175" s="8"/>
      <c r="EG1175" s="8"/>
      <c r="EH1175" s="8"/>
      <c r="EI1175" s="8"/>
      <c r="EJ1175" s="8"/>
      <c r="EK1175" s="8"/>
      <c r="EL1175" s="8"/>
      <c r="EM1175" s="8"/>
      <c r="EN1175" s="8"/>
      <c r="EO1175" s="8"/>
      <c r="EP1175" s="8"/>
      <c r="EQ1175" s="8"/>
      <c r="ER1175" s="8"/>
      <c r="ES1175" s="8"/>
      <c r="ET1175" s="8"/>
      <c r="EU1175" s="8"/>
      <c r="EV1175" s="8"/>
      <c r="EW1175" s="8"/>
      <c r="EX1175" s="8"/>
      <c r="EY1175" s="8"/>
      <c r="EZ1175" s="8"/>
      <c r="FA1175" s="8"/>
      <c r="FB1175" s="8"/>
      <c r="FC1175" s="8"/>
      <c r="FD1175" s="8"/>
      <c r="FE1175" s="8"/>
      <c r="FF1175" s="8"/>
      <c r="FG1175" s="8"/>
      <c r="FH1175" s="8"/>
      <c r="FI1175" s="8"/>
      <c r="FJ1175" s="8"/>
      <c r="FK1175" s="8"/>
      <c r="FL1175" s="8"/>
      <c r="FM1175" s="8"/>
      <c r="FN1175" s="8"/>
      <c r="FO1175" s="8"/>
      <c r="FP1175" s="8"/>
      <c r="FQ1175" s="8"/>
      <c r="FR1175" s="8"/>
      <c r="FS1175" s="8"/>
      <c r="FT1175" s="8"/>
      <c r="FU1175" s="8"/>
      <c r="FV1175" s="8"/>
      <c r="FW1175" s="8"/>
      <c r="FX1175" s="8"/>
      <c r="FY1175" s="8"/>
      <c r="FZ1175" s="8"/>
      <c r="GA1175" s="8"/>
      <c r="GB1175" s="8"/>
      <c r="GC1175" s="8"/>
      <c r="GD1175" s="8"/>
      <c r="GE1175" s="8"/>
      <c r="GF1175" s="8"/>
      <c r="GG1175" s="8"/>
      <c r="GH1175" s="8"/>
      <c r="GI1175" s="8"/>
      <c r="GJ1175" s="8"/>
      <c r="GK1175" s="8"/>
      <c r="GL1175" s="8"/>
      <c r="GM1175" s="8"/>
      <c r="GN1175" s="8"/>
      <c r="GO1175" s="8"/>
      <c r="GP1175" s="8"/>
      <c r="GQ1175" s="8"/>
      <c r="GR1175" s="8"/>
      <c r="GS1175" s="8"/>
      <c r="GT1175" s="8"/>
      <c r="GU1175" s="8"/>
      <c r="GV1175" s="8"/>
      <c r="GW1175" s="8"/>
      <c r="GX1175" s="8"/>
      <c r="GY1175" s="8"/>
      <c r="GZ1175" s="8"/>
      <c r="HA1175" s="8"/>
      <c r="HB1175" s="8"/>
      <c r="HC1175" s="8"/>
      <c r="HD1175" s="8"/>
      <c r="HE1175" s="8"/>
      <c r="HF1175" s="8"/>
      <c r="HG1175" s="8"/>
      <c r="HH1175" s="8"/>
      <c r="HI1175" s="8"/>
      <c r="HJ1175" s="8"/>
      <c r="HK1175" s="8"/>
      <c r="HL1175" s="8"/>
      <c r="HM1175" s="8"/>
      <c r="HN1175" s="8"/>
      <c r="HO1175" s="8"/>
      <c r="HP1175" s="8"/>
      <c r="HQ1175" s="8"/>
      <c r="HR1175" s="8"/>
      <c r="HS1175" s="8"/>
      <c r="HT1175" s="8"/>
      <c r="HU1175" s="8"/>
      <c r="HV1175" s="8"/>
      <c r="HW1175" s="8"/>
      <c r="HX1175" s="8"/>
      <c r="HY1175" s="8"/>
      <c r="HZ1175" s="8"/>
      <c r="IA1175" s="8"/>
      <c r="IB1175" s="8"/>
      <c r="IC1175" s="8"/>
      <c r="ID1175" s="8"/>
      <c r="IE1175" s="8"/>
      <c r="IF1175" s="8"/>
    </row>
    <row r="1176" spans="1:240" ht="30" customHeight="1">
      <c r="A1176" s="5">
        <v>1174</v>
      </c>
      <c r="B1176" s="5"/>
      <c r="C1176" s="5"/>
      <c r="D1176" s="5" t="s">
        <v>68</v>
      </c>
      <c r="E1176" s="5" t="s">
        <v>48</v>
      </c>
      <c r="F1176" s="5" t="s">
        <v>48</v>
      </c>
      <c r="G1176" s="5" t="s">
        <v>48</v>
      </c>
      <c r="H1176" s="15">
        <f>1510*0.454</f>
        <v>685.54000000000008</v>
      </c>
      <c r="I1176" s="5" t="s">
        <v>13</v>
      </c>
      <c r="J1176" s="15">
        <f>36720/1000</f>
        <v>36.72</v>
      </c>
      <c r="K1176" s="15">
        <f t="shared" si="33"/>
        <v>5.5560000000000009</v>
      </c>
      <c r="L1176" s="5">
        <v>128.37</v>
      </c>
      <c r="M1176" s="5">
        <f t="shared" si="34"/>
        <v>3.8800000000000026</v>
      </c>
      <c r="N1176" s="5"/>
      <c r="O1176" s="15">
        <f>9200*1.6978</f>
        <v>15619.76</v>
      </c>
      <c r="P1176" s="5"/>
      <c r="Q1176" s="5"/>
      <c r="R1176" s="5">
        <v>1</v>
      </c>
      <c r="S1176" s="5"/>
      <c r="T1176" s="5"/>
      <c r="U1176" s="5"/>
      <c r="V1176" s="5">
        <v>1.5</v>
      </c>
      <c r="W1176" s="5"/>
      <c r="X1176" s="5"/>
      <c r="Y1176" s="5" t="s">
        <v>48</v>
      </c>
      <c r="Z1176" s="5"/>
      <c r="AA1176" s="5"/>
      <c r="AB1176" s="5"/>
      <c r="AC1176" s="5"/>
      <c r="AD1176" s="5"/>
      <c r="AE1176" s="5"/>
      <c r="AF1176" s="5"/>
      <c r="AG1176" s="5"/>
      <c r="AH1176" s="16">
        <v>3452</v>
      </c>
      <c r="AI1176" s="5"/>
      <c r="AJ1176" s="5"/>
      <c r="AK1176" s="5"/>
      <c r="AL1176" s="5"/>
      <c r="AM1176" s="16">
        <v>3452</v>
      </c>
      <c r="AN1176" s="5"/>
      <c r="AO1176" s="8"/>
      <c r="AP1176" s="8"/>
      <c r="AQ1176" s="8"/>
      <c r="AR1176" s="8"/>
      <c r="AS1176" s="8"/>
      <c r="AT1176" s="8"/>
      <c r="AU1176" s="8"/>
      <c r="AV1176" s="8"/>
      <c r="AW1176" s="8"/>
      <c r="AX1176" s="8"/>
      <c r="AY1176" s="8"/>
      <c r="AZ1176" s="8"/>
      <c r="BA1176" s="8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8"/>
      <c r="BS1176" s="8"/>
      <c r="BT1176" s="8"/>
      <c r="BU1176" s="8"/>
      <c r="BV1176" s="8"/>
      <c r="BW1176" s="8"/>
      <c r="BX1176" s="8"/>
      <c r="BY1176" s="8"/>
      <c r="BZ1176" s="8"/>
      <c r="CA1176" s="8"/>
      <c r="CB1176" s="8"/>
      <c r="CC1176" s="8"/>
      <c r="CD1176" s="8"/>
      <c r="CE1176" s="8"/>
      <c r="CF1176" s="8"/>
      <c r="CG1176" s="8"/>
      <c r="CH1176" s="8"/>
      <c r="CI1176" s="8"/>
      <c r="CJ1176" s="8"/>
      <c r="CK1176" s="8"/>
      <c r="CL1176" s="8"/>
      <c r="CM1176" s="8"/>
      <c r="CN1176" s="8"/>
      <c r="CO1176" s="8"/>
      <c r="CP1176" s="8"/>
      <c r="CQ1176" s="8"/>
      <c r="CR1176" s="8"/>
      <c r="CS1176" s="8"/>
      <c r="CT1176" s="8"/>
      <c r="CU1176" s="8"/>
      <c r="CV1176" s="8"/>
      <c r="CW1176" s="8"/>
      <c r="CX1176" s="8"/>
      <c r="CY1176" s="8"/>
      <c r="CZ1176" s="8"/>
      <c r="DA1176" s="8"/>
      <c r="DB1176" s="8"/>
      <c r="DC1176" s="8"/>
      <c r="DD1176" s="8"/>
      <c r="DE1176" s="8"/>
      <c r="DF1176" s="8"/>
      <c r="DG1176" s="8"/>
      <c r="DH1176" s="8"/>
      <c r="DI1176" s="8"/>
      <c r="DJ1176" s="8"/>
      <c r="DK1176" s="8"/>
      <c r="DL1176" s="8"/>
      <c r="DM1176" s="8"/>
      <c r="DN1176" s="8"/>
      <c r="DO1176" s="8"/>
      <c r="DP1176" s="8"/>
      <c r="DQ1176" s="8"/>
      <c r="DR1176" s="8"/>
      <c r="DS1176" s="8"/>
      <c r="DT1176" s="8"/>
      <c r="DU1176" s="8"/>
      <c r="DV1176" s="8"/>
      <c r="DW1176" s="8"/>
      <c r="DX1176" s="8"/>
      <c r="DY1176" s="8"/>
      <c r="DZ1176" s="8"/>
      <c r="EA1176" s="8"/>
      <c r="EB1176" s="8"/>
      <c r="EC1176" s="8"/>
      <c r="ED1176" s="8"/>
      <c r="EE1176" s="8"/>
      <c r="EF1176" s="8"/>
      <c r="EG1176" s="8"/>
      <c r="EH1176" s="8"/>
      <c r="EI1176" s="8"/>
      <c r="EJ1176" s="8"/>
      <c r="EK1176" s="8"/>
      <c r="EL1176" s="8"/>
      <c r="EM1176" s="8"/>
      <c r="EN1176" s="8"/>
      <c r="EO1176" s="8"/>
      <c r="EP1176" s="8"/>
      <c r="EQ1176" s="8"/>
      <c r="ER1176" s="8"/>
      <c r="ES1176" s="8"/>
      <c r="ET1176" s="8"/>
      <c r="EU1176" s="8"/>
      <c r="EV1176" s="8"/>
      <c r="EW1176" s="8"/>
      <c r="EX1176" s="8"/>
      <c r="EY1176" s="8"/>
      <c r="EZ1176" s="8"/>
      <c r="FA1176" s="8"/>
      <c r="FB1176" s="8"/>
      <c r="FC1176" s="8"/>
      <c r="FD1176" s="8"/>
      <c r="FE1176" s="8"/>
      <c r="FF1176" s="8"/>
      <c r="FG1176" s="8"/>
      <c r="FH1176" s="8"/>
      <c r="FI1176" s="8"/>
      <c r="FJ1176" s="8"/>
      <c r="FK1176" s="8"/>
      <c r="FL1176" s="8"/>
      <c r="FM1176" s="8"/>
      <c r="FN1176" s="8"/>
      <c r="FO1176" s="8"/>
      <c r="FP1176" s="8"/>
      <c r="FQ1176" s="8"/>
      <c r="FR1176" s="8"/>
      <c r="FS1176" s="8"/>
      <c r="FT1176" s="8"/>
      <c r="FU1176" s="8"/>
      <c r="FV1176" s="8"/>
      <c r="FW1176" s="8"/>
      <c r="FX1176" s="8"/>
      <c r="FY1176" s="8"/>
      <c r="FZ1176" s="8"/>
      <c r="GA1176" s="8"/>
      <c r="GB1176" s="8"/>
      <c r="GC1176" s="8"/>
      <c r="GD1176" s="8"/>
      <c r="GE1176" s="8"/>
      <c r="GF1176" s="8"/>
      <c r="GG1176" s="8"/>
      <c r="GH1176" s="8"/>
      <c r="GI1176" s="8"/>
      <c r="GJ1176" s="8"/>
      <c r="GK1176" s="8"/>
      <c r="GL1176" s="8"/>
      <c r="GM1176" s="8"/>
      <c r="GN1176" s="8"/>
      <c r="GO1176" s="8"/>
      <c r="GP1176" s="8"/>
      <c r="GQ1176" s="8"/>
      <c r="GR1176" s="8"/>
      <c r="GS1176" s="8"/>
      <c r="GT1176" s="8"/>
      <c r="GU1176" s="8"/>
      <c r="GV1176" s="8"/>
      <c r="GW1176" s="8"/>
      <c r="GX1176" s="8"/>
      <c r="GY1176" s="8"/>
      <c r="GZ1176" s="8"/>
      <c r="HA1176" s="8"/>
      <c r="HB1176" s="8"/>
      <c r="HC1176" s="8"/>
      <c r="HD1176" s="8"/>
      <c r="HE1176" s="8"/>
      <c r="HF1176" s="8"/>
      <c r="HG1176" s="8"/>
      <c r="HH1176" s="8"/>
      <c r="HI1176" s="8"/>
      <c r="HJ1176" s="8"/>
      <c r="HK1176" s="8"/>
      <c r="HL1176" s="8"/>
      <c r="HM1176" s="8"/>
      <c r="HN1176" s="8"/>
      <c r="HO1176" s="8"/>
      <c r="HP1176" s="8"/>
      <c r="HQ1176" s="8"/>
      <c r="HR1176" s="8"/>
      <c r="HS1176" s="8"/>
      <c r="HT1176" s="8"/>
      <c r="HU1176" s="8"/>
      <c r="HV1176" s="8"/>
      <c r="HW1176" s="8"/>
      <c r="HX1176" s="8"/>
      <c r="HY1176" s="8"/>
      <c r="HZ1176" s="8"/>
      <c r="IA1176" s="8"/>
      <c r="IB1176" s="8"/>
      <c r="IC1176" s="8"/>
      <c r="ID1176" s="8"/>
      <c r="IE1176" s="8"/>
      <c r="IF1176" s="8"/>
    </row>
    <row r="1177" spans="1:240" ht="30" customHeight="1">
      <c r="A1177" s="5">
        <v>1175</v>
      </c>
      <c r="B1177" s="5"/>
      <c r="C1177" s="5"/>
      <c r="D1177" s="5" t="s">
        <v>68</v>
      </c>
      <c r="E1177" s="5" t="s">
        <v>48</v>
      </c>
      <c r="F1177" s="5" t="s">
        <v>48</v>
      </c>
      <c r="G1177" s="5" t="s">
        <v>48</v>
      </c>
      <c r="H1177" s="15">
        <f>1670*0.454</f>
        <v>758.18000000000006</v>
      </c>
      <c r="I1177" s="5" t="s">
        <v>13</v>
      </c>
      <c r="J1177" s="15">
        <f>18360/1000</f>
        <v>18.36</v>
      </c>
      <c r="K1177" s="15">
        <f t="shared" si="33"/>
        <v>5.5560000000000009</v>
      </c>
      <c r="L1177" s="5">
        <v>147.71</v>
      </c>
      <c r="M1177" s="5">
        <f t="shared" si="34"/>
        <v>3.8800000000000026</v>
      </c>
      <c r="N1177" s="5">
        <v>17.899999999999999</v>
      </c>
      <c r="O1177" s="15">
        <f>8900*1.6978</f>
        <v>15110.42</v>
      </c>
      <c r="P1177" s="5"/>
      <c r="Q1177" s="5"/>
      <c r="R1177" s="5">
        <v>1</v>
      </c>
      <c r="S1177" s="5"/>
      <c r="T1177" s="5"/>
      <c r="U1177" s="5"/>
      <c r="V1177" s="5">
        <v>1.5</v>
      </c>
      <c r="W1177" s="5"/>
      <c r="X1177" s="5"/>
      <c r="Y1177" s="5" t="s">
        <v>48</v>
      </c>
      <c r="Z1177" s="5"/>
      <c r="AA1177" s="5"/>
      <c r="AB1177" s="5"/>
      <c r="AC1177" s="5"/>
      <c r="AD1177" s="5"/>
      <c r="AE1177" s="5"/>
      <c r="AF1177" s="5"/>
      <c r="AG1177" s="5"/>
      <c r="AH1177" s="16">
        <v>3190</v>
      </c>
      <c r="AI1177" s="5"/>
      <c r="AJ1177" s="5"/>
      <c r="AK1177" s="5"/>
      <c r="AL1177" s="5"/>
      <c r="AM1177" s="16">
        <v>3190</v>
      </c>
      <c r="AN1177" s="5"/>
      <c r="AO1177" s="8"/>
      <c r="AP1177" s="8"/>
      <c r="AQ1177" s="8"/>
      <c r="AR1177" s="8"/>
      <c r="AS1177" s="8"/>
      <c r="AT1177" s="8"/>
      <c r="AU1177" s="8"/>
      <c r="AV1177" s="8"/>
      <c r="AW1177" s="8"/>
      <c r="AX1177" s="8"/>
      <c r="AY1177" s="8"/>
      <c r="AZ1177" s="8"/>
      <c r="BA1177" s="8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8"/>
      <c r="BS1177" s="8"/>
      <c r="BT1177" s="8"/>
      <c r="BU1177" s="8"/>
      <c r="BV1177" s="8"/>
      <c r="BW1177" s="8"/>
      <c r="BX1177" s="8"/>
      <c r="BY1177" s="8"/>
      <c r="BZ1177" s="8"/>
      <c r="CA1177" s="8"/>
      <c r="CB1177" s="8"/>
      <c r="CC1177" s="8"/>
      <c r="CD1177" s="8"/>
      <c r="CE1177" s="8"/>
      <c r="CF1177" s="8"/>
      <c r="CG1177" s="8"/>
      <c r="CH1177" s="8"/>
      <c r="CI1177" s="8"/>
      <c r="CJ1177" s="8"/>
      <c r="CK1177" s="8"/>
      <c r="CL1177" s="8"/>
      <c r="CM1177" s="8"/>
      <c r="CN1177" s="8"/>
      <c r="CO1177" s="8"/>
      <c r="CP1177" s="8"/>
      <c r="CQ1177" s="8"/>
      <c r="CR1177" s="8"/>
      <c r="CS1177" s="8"/>
      <c r="CT1177" s="8"/>
      <c r="CU1177" s="8"/>
      <c r="CV1177" s="8"/>
      <c r="CW1177" s="8"/>
      <c r="CX1177" s="8"/>
      <c r="CY1177" s="8"/>
      <c r="CZ1177" s="8"/>
      <c r="DA1177" s="8"/>
      <c r="DB1177" s="8"/>
      <c r="DC1177" s="8"/>
      <c r="DD1177" s="8"/>
      <c r="DE1177" s="8"/>
      <c r="DF1177" s="8"/>
      <c r="DG1177" s="8"/>
      <c r="DH1177" s="8"/>
      <c r="DI1177" s="8"/>
      <c r="DJ1177" s="8"/>
      <c r="DK1177" s="8"/>
      <c r="DL1177" s="8"/>
      <c r="DM1177" s="8"/>
      <c r="DN1177" s="8"/>
      <c r="DO1177" s="8"/>
      <c r="DP1177" s="8"/>
      <c r="DQ1177" s="8"/>
      <c r="DR1177" s="8"/>
      <c r="DS1177" s="8"/>
      <c r="DT1177" s="8"/>
      <c r="DU1177" s="8"/>
      <c r="DV1177" s="8"/>
      <c r="DW1177" s="8"/>
      <c r="DX1177" s="8"/>
      <c r="DY1177" s="8"/>
      <c r="DZ1177" s="8"/>
      <c r="EA1177" s="8"/>
      <c r="EB1177" s="8"/>
      <c r="EC1177" s="8"/>
      <c r="ED1177" s="8"/>
      <c r="EE1177" s="8"/>
      <c r="EF1177" s="8"/>
      <c r="EG1177" s="8"/>
      <c r="EH1177" s="8"/>
      <c r="EI1177" s="8"/>
      <c r="EJ1177" s="8"/>
      <c r="EK1177" s="8"/>
      <c r="EL1177" s="8"/>
      <c r="EM1177" s="8"/>
      <c r="EN1177" s="8"/>
      <c r="EO1177" s="8"/>
      <c r="EP1177" s="8"/>
      <c r="EQ1177" s="8"/>
      <c r="ER1177" s="8"/>
      <c r="ES1177" s="8"/>
      <c r="ET1177" s="8"/>
      <c r="EU1177" s="8"/>
      <c r="EV1177" s="8"/>
      <c r="EW1177" s="8"/>
      <c r="EX1177" s="8"/>
      <c r="EY1177" s="8"/>
      <c r="EZ1177" s="8"/>
      <c r="FA1177" s="8"/>
      <c r="FB1177" s="8"/>
      <c r="FC1177" s="8"/>
      <c r="FD1177" s="8"/>
      <c r="FE1177" s="8"/>
      <c r="FF1177" s="8"/>
      <c r="FG1177" s="8"/>
      <c r="FH1177" s="8"/>
      <c r="FI1177" s="8"/>
      <c r="FJ1177" s="8"/>
      <c r="FK1177" s="8"/>
      <c r="FL1177" s="8"/>
      <c r="FM1177" s="8"/>
      <c r="FN1177" s="8"/>
      <c r="FO1177" s="8"/>
      <c r="FP1177" s="8"/>
      <c r="FQ1177" s="8"/>
      <c r="FR1177" s="8"/>
      <c r="FS1177" s="8"/>
      <c r="FT1177" s="8"/>
      <c r="FU1177" s="8"/>
      <c r="FV1177" s="8"/>
      <c r="FW1177" s="8"/>
      <c r="FX1177" s="8"/>
      <c r="FY1177" s="8"/>
      <c r="FZ1177" s="8"/>
      <c r="GA1177" s="8"/>
      <c r="GB1177" s="8"/>
      <c r="GC1177" s="8"/>
      <c r="GD1177" s="8"/>
      <c r="GE1177" s="8"/>
      <c r="GF1177" s="8"/>
      <c r="GG1177" s="8"/>
      <c r="GH1177" s="8"/>
      <c r="GI1177" s="8"/>
      <c r="GJ1177" s="8"/>
      <c r="GK1177" s="8"/>
      <c r="GL1177" s="8"/>
      <c r="GM1177" s="8"/>
      <c r="GN1177" s="8"/>
      <c r="GO1177" s="8"/>
      <c r="GP1177" s="8"/>
      <c r="GQ1177" s="8"/>
      <c r="GR1177" s="8"/>
      <c r="GS1177" s="8"/>
      <c r="GT1177" s="8"/>
      <c r="GU1177" s="8"/>
      <c r="GV1177" s="8"/>
      <c r="GW1177" s="8"/>
      <c r="GX1177" s="8"/>
      <c r="GY1177" s="8"/>
      <c r="GZ1177" s="8"/>
      <c r="HA1177" s="8"/>
      <c r="HB1177" s="8"/>
      <c r="HC1177" s="8"/>
      <c r="HD1177" s="8"/>
      <c r="HE1177" s="8"/>
      <c r="HF1177" s="8"/>
      <c r="HG1177" s="8"/>
      <c r="HH1177" s="8"/>
      <c r="HI1177" s="8"/>
      <c r="HJ1177" s="8"/>
      <c r="HK1177" s="8"/>
      <c r="HL1177" s="8"/>
      <c r="HM1177" s="8"/>
      <c r="HN1177" s="8"/>
      <c r="HO1177" s="8"/>
      <c r="HP1177" s="8"/>
      <c r="HQ1177" s="8"/>
      <c r="HR1177" s="8"/>
      <c r="HS1177" s="8"/>
      <c r="HT1177" s="8"/>
      <c r="HU1177" s="8"/>
      <c r="HV1177" s="8"/>
      <c r="HW1177" s="8"/>
      <c r="HX1177" s="8"/>
      <c r="HY1177" s="8"/>
      <c r="HZ1177" s="8"/>
      <c r="IA1177" s="8"/>
      <c r="IB1177" s="8"/>
      <c r="IC1177" s="8"/>
      <c r="ID1177" s="8"/>
      <c r="IE1177" s="8"/>
      <c r="IF1177" s="8"/>
    </row>
    <row r="1178" spans="1:240" ht="30" customHeight="1">
      <c r="A1178" s="5">
        <v>1176</v>
      </c>
      <c r="B1178" s="5"/>
      <c r="C1178" s="5"/>
      <c r="D1178" s="5" t="s">
        <v>68</v>
      </c>
      <c r="E1178" s="5" t="s">
        <v>48</v>
      </c>
      <c r="F1178" s="5" t="s">
        <v>48</v>
      </c>
      <c r="G1178" s="5" t="s">
        <v>48</v>
      </c>
      <c r="H1178" s="15">
        <f>2300*0.454</f>
        <v>1044.2</v>
      </c>
      <c r="I1178" s="5" t="s">
        <v>13</v>
      </c>
      <c r="J1178" s="15">
        <f>100/4.4</f>
        <v>22.727272727272727</v>
      </c>
      <c r="K1178" s="15">
        <f t="shared" si="33"/>
        <v>5.5560000000000009</v>
      </c>
      <c r="L1178" s="24">
        <v>145.89141761815887</v>
      </c>
      <c r="M1178" s="5">
        <f t="shared" si="34"/>
        <v>3.8800000000000026</v>
      </c>
      <c r="N1178" s="5">
        <v>4.0999999999999996</v>
      </c>
      <c r="O1178" s="15">
        <f>9100*1.6978</f>
        <v>15449.98</v>
      </c>
      <c r="P1178" s="5"/>
      <c r="Q1178" s="5"/>
      <c r="R1178" s="5">
        <v>2</v>
      </c>
      <c r="S1178" s="5"/>
      <c r="T1178" s="5"/>
      <c r="U1178" s="5"/>
      <c r="V1178" s="15">
        <f>2*0.7457*R1178</f>
        <v>2.9828000000000001</v>
      </c>
      <c r="W1178" s="5"/>
      <c r="X1178" s="5"/>
      <c r="Y1178" s="5" t="s">
        <v>48</v>
      </c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16" t="s">
        <v>48</v>
      </c>
      <c r="AN1178" s="5"/>
      <c r="AO1178" s="8"/>
      <c r="AP1178" s="8"/>
      <c r="AQ1178" s="8"/>
      <c r="AR1178" s="8"/>
      <c r="AS1178" s="8"/>
      <c r="AT1178" s="8"/>
      <c r="AU1178" s="8"/>
      <c r="AV1178" s="8"/>
      <c r="AW1178" s="8"/>
      <c r="AX1178" s="8"/>
      <c r="AY1178" s="8"/>
      <c r="AZ1178" s="8"/>
      <c r="BA1178" s="8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8"/>
      <c r="BS1178" s="8"/>
      <c r="BT1178" s="8"/>
      <c r="BU1178" s="8"/>
      <c r="BV1178" s="8"/>
      <c r="BW1178" s="8"/>
      <c r="BX1178" s="8"/>
      <c r="BY1178" s="8"/>
      <c r="BZ1178" s="8"/>
      <c r="CA1178" s="8"/>
      <c r="CB1178" s="8"/>
      <c r="CC1178" s="8"/>
      <c r="CD1178" s="8"/>
      <c r="CE1178" s="8"/>
      <c r="CF1178" s="8"/>
      <c r="CG1178" s="8"/>
      <c r="CH1178" s="8"/>
      <c r="CI1178" s="8"/>
      <c r="CJ1178" s="8"/>
      <c r="CK1178" s="8"/>
      <c r="CL1178" s="8"/>
      <c r="CM1178" s="8"/>
      <c r="CN1178" s="8"/>
      <c r="CO1178" s="8"/>
      <c r="CP1178" s="8"/>
      <c r="CQ1178" s="8"/>
      <c r="CR1178" s="8"/>
      <c r="CS1178" s="8"/>
      <c r="CT1178" s="8"/>
      <c r="CU1178" s="8"/>
      <c r="CV1178" s="8"/>
      <c r="CW1178" s="8"/>
      <c r="CX1178" s="8"/>
      <c r="CY1178" s="8"/>
      <c r="CZ1178" s="8"/>
      <c r="DA1178" s="8"/>
      <c r="DB1178" s="8"/>
      <c r="DC1178" s="8"/>
      <c r="DD1178" s="8"/>
      <c r="DE1178" s="8"/>
      <c r="DF1178" s="8"/>
      <c r="DG1178" s="8"/>
      <c r="DH1178" s="8"/>
      <c r="DI1178" s="8"/>
      <c r="DJ1178" s="8"/>
      <c r="DK1178" s="8"/>
      <c r="DL1178" s="8"/>
      <c r="DM1178" s="8"/>
      <c r="DN1178" s="8"/>
      <c r="DO1178" s="8"/>
      <c r="DP1178" s="8"/>
      <c r="DQ1178" s="8"/>
      <c r="DR1178" s="8"/>
      <c r="DS1178" s="8"/>
      <c r="DT1178" s="8"/>
      <c r="DU1178" s="8"/>
      <c r="DV1178" s="8"/>
      <c r="DW1178" s="8"/>
      <c r="DX1178" s="8"/>
      <c r="DY1178" s="8"/>
      <c r="DZ1178" s="8"/>
      <c r="EA1178" s="8"/>
      <c r="EB1178" s="8"/>
      <c r="EC1178" s="8"/>
      <c r="ED1178" s="8"/>
      <c r="EE1178" s="8"/>
      <c r="EF1178" s="8"/>
      <c r="EG1178" s="8"/>
      <c r="EH1178" s="8"/>
      <c r="EI1178" s="8"/>
      <c r="EJ1178" s="8"/>
      <c r="EK1178" s="8"/>
      <c r="EL1178" s="8"/>
      <c r="EM1178" s="8"/>
      <c r="EN1178" s="8"/>
      <c r="EO1178" s="8"/>
      <c r="EP1178" s="8"/>
      <c r="EQ1178" s="8"/>
      <c r="ER1178" s="8"/>
      <c r="ES1178" s="8"/>
      <c r="ET1178" s="8"/>
      <c r="EU1178" s="8"/>
      <c r="EV1178" s="8"/>
      <c r="EW1178" s="8"/>
      <c r="EX1178" s="8"/>
      <c r="EY1178" s="8"/>
      <c r="EZ1178" s="8"/>
      <c r="FA1178" s="8"/>
      <c r="FB1178" s="8"/>
      <c r="FC1178" s="8"/>
      <c r="FD1178" s="8"/>
      <c r="FE1178" s="8"/>
      <c r="FF1178" s="8"/>
      <c r="FG1178" s="8"/>
      <c r="FH1178" s="8"/>
      <c r="FI1178" s="8"/>
      <c r="FJ1178" s="8"/>
      <c r="FK1178" s="8"/>
      <c r="FL1178" s="8"/>
      <c r="FM1178" s="8"/>
      <c r="FN1178" s="8"/>
      <c r="FO1178" s="8"/>
      <c r="FP1178" s="8"/>
      <c r="FQ1178" s="8"/>
      <c r="FR1178" s="8"/>
      <c r="FS1178" s="8"/>
      <c r="FT1178" s="8"/>
      <c r="FU1178" s="8"/>
      <c r="FV1178" s="8"/>
      <c r="FW1178" s="8"/>
      <c r="FX1178" s="8"/>
      <c r="FY1178" s="8"/>
      <c r="FZ1178" s="8"/>
      <c r="GA1178" s="8"/>
      <c r="GB1178" s="8"/>
      <c r="GC1178" s="8"/>
      <c r="GD1178" s="8"/>
      <c r="GE1178" s="8"/>
      <c r="GF1178" s="8"/>
      <c r="GG1178" s="8"/>
      <c r="GH1178" s="8"/>
      <c r="GI1178" s="8"/>
      <c r="GJ1178" s="8"/>
      <c r="GK1178" s="8"/>
      <c r="GL1178" s="8"/>
      <c r="GM1178" s="8"/>
      <c r="GN1178" s="8"/>
      <c r="GO1178" s="8"/>
      <c r="GP1178" s="8"/>
      <c r="GQ1178" s="8"/>
      <c r="GR1178" s="8"/>
      <c r="GS1178" s="8"/>
      <c r="GT1178" s="8"/>
      <c r="GU1178" s="8"/>
      <c r="GV1178" s="8"/>
      <c r="GW1178" s="8"/>
      <c r="GX1178" s="8"/>
      <c r="GY1178" s="8"/>
      <c r="GZ1178" s="8"/>
      <c r="HA1178" s="8"/>
      <c r="HB1178" s="8"/>
      <c r="HC1178" s="8"/>
      <c r="HD1178" s="8"/>
      <c r="HE1178" s="8"/>
      <c r="HF1178" s="8"/>
      <c r="HG1178" s="8"/>
      <c r="HH1178" s="8"/>
      <c r="HI1178" s="8"/>
      <c r="HJ1178" s="8"/>
      <c r="HK1178" s="8"/>
      <c r="HL1178" s="8"/>
      <c r="HM1178" s="8"/>
      <c r="HN1178" s="8"/>
      <c r="HO1178" s="8"/>
      <c r="HP1178" s="8"/>
      <c r="HQ1178" s="8"/>
      <c r="HR1178" s="8"/>
      <c r="HS1178" s="8"/>
      <c r="HT1178" s="8"/>
      <c r="HU1178" s="8"/>
      <c r="HV1178" s="8"/>
      <c r="HW1178" s="8"/>
      <c r="HX1178" s="8"/>
      <c r="HY1178" s="8"/>
      <c r="HZ1178" s="8"/>
      <c r="IA1178" s="8"/>
      <c r="IB1178" s="8"/>
      <c r="IC1178" s="8"/>
      <c r="ID1178" s="8"/>
      <c r="IE1178" s="8"/>
      <c r="IF1178" s="8"/>
    </row>
    <row r="1179" spans="1:240" ht="30" customHeight="1">
      <c r="A1179" s="5">
        <v>1177</v>
      </c>
      <c r="B1179" s="5"/>
      <c r="C1179" s="5"/>
      <c r="D1179" s="5" t="s">
        <v>68</v>
      </c>
      <c r="E1179" s="5" t="s">
        <v>48</v>
      </c>
      <c r="F1179" s="5" t="s">
        <v>48</v>
      </c>
      <c r="G1179" s="5" t="s">
        <v>48</v>
      </c>
      <c r="H1179" s="15">
        <f>2330*0.454</f>
        <v>1057.82</v>
      </c>
      <c r="I1179" s="5" t="s">
        <v>13</v>
      </c>
      <c r="J1179" s="15">
        <f>116/4.4</f>
        <v>26.36363636363636</v>
      </c>
      <c r="K1179" s="15">
        <f t="shared" ref="K1179:K1237" si="35">35-29.444</f>
        <v>5.5560000000000009</v>
      </c>
      <c r="L1179" s="24">
        <v>169.23404443706426</v>
      </c>
      <c r="M1179" s="5">
        <f t="shared" si="34"/>
        <v>3.8800000000000026</v>
      </c>
      <c r="N1179" s="5"/>
      <c r="O1179" s="15">
        <f>10300*1.6978</f>
        <v>17487.34</v>
      </c>
      <c r="P1179" s="5"/>
      <c r="Q1179" s="5"/>
      <c r="R1179" s="5">
        <v>2</v>
      </c>
      <c r="S1179" s="5"/>
      <c r="T1179" s="5"/>
      <c r="U1179" s="5"/>
      <c r="V1179" s="15">
        <f>3*0.7457*R1179</f>
        <v>4.4741999999999997</v>
      </c>
      <c r="W1179" s="5"/>
      <c r="X1179" s="5"/>
      <c r="Y1179" s="5" t="s">
        <v>48</v>
      </c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16" t="s">
        <v>48</v>
      </c>
      <c r="AN1179" s="5"/>
      <c r="AO1179" s="8"/>
      <c r="AP1179" s="8"/>
      <c r="AQ1179" s="8"/>
      <c r="AR1179" s="8"/>
      <c r="AS1179" s="8"/>
      <c r="AT1179" s="8"/>
      <c r="AU1179" s="8"/>
      <c r="AV1179" s="8"/>
      <c r="AW1179" s="8"/>
      <c r="AX1179" s="8"/>
      <c r="AY1179" s="8"/>
      <c r="AZ1179" s="8"/>
      <c r="BA1179" s="8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8"/>
      <c r="BS1179" s="8"/>
      <c r="BT1179" s="8"/>
      <c r="BU1179" s="8"/>
      <c r="BV1179" s="8"/>
      <c r="BW1179" s="8"/>
      <c r="BX1179" s="8"/>
      <c r="BY1179" s="8"/>
      <c r="BZ1179" s="8"/>
      <c r="CA1179" s="8"/>
      <c r="CB1179" s="8"/>
      <c r="CC1179" s="8"/>
      <c r="CD1179" s="8"/>
      <c r="CE1179" s="8"/>
      <c r="CF1179" s="8"/>
      <c r="CG1179" s="8"/>
      <c r="CH1179" s="8"/>
      <c r="CI1179" s="8"/>
      <c r="CJ1179" s="8"/>
      <c r="CK1179" s="8"/>
      <c r="CL1179" s="8"/>
      <c r="CM1179" s="8"/>
      <c r="CN1179" s="8"/>
      <c r="CO1179" s="8"/>
      <c r="CP1179" s="8"/>
      <c r="CQ1179" s="8"/>
      <c r="CR1179" s="8"/>
      <c r="CS1179" s="8"/>
      <c r="CT1179" s="8"/>
      <c r="CU1179" s="8"/>
      <c r="CV1179" s="8"/>
      <c r="CW1179" s="8"/>
      <c r="CX1179" s="8"/>
      <c r="CY1179" s="8"/>
      <c r="CZ1179" s="8"/>
      <c r="DA1179" s="8"/>
      <c r="DB1179" s="8"/>
      <c r="DC1179" s="8"/>
      <c r="DD1179" s="8"/>
      <c r="DE1179" s="8"/>
      <c r="DF1179" s="8"/>
      <c r="DG1179" s="8"/>
      <c r="DH1179" s="8"/>
      <c r="DI1179" s="8"/>
      <c r="DJ1179" s="8"/>
      <c r="DK1179" s="8"/>
      <c r="DL1179" s="8"/>
      <c r="DM1179" s="8"/>
      <c r="DN1179" s="8"/>
      <c r="DO1179" s="8"/>
      <c r="DP1179" s="8"/>
      <c r="DQ1179" s="8"/>
      <c r="DR1179" s="8"/>
      <c r="DS1179" s="8"/>
      <c r="DT1179" s="8"/>
      <c r="DU1179" s="8"/>
      <c r="DV1179" s="8"/>
      <c r="DW1179" s="8"/>
      <c r="DX1179" s="8"/>
      <c r="DY1179" s="8"/>
      <c r="DZ1179" s="8"/>
      <c r="EA1179" s="8"/>
      <c r="EB1179" s="8"/>
      <c r="EC1179" s="8"/>
      <c r="ED1179" s="8"/>
      <c r="EE1179" s="8"/>
      <c r="EF1179" s="8"/>
      <c r="EG1179" s="8"/>
      <c r="EH1179" s="8"/>
      <c r="EI1179" s="8"/>
      <c r="EJ1179" s="8"/>
      <c r="EK1179" s="8"/>
      <c r="EL1179" s="8"/>
      <c r="EM1179" s="8"/>
      <c r="EN1179" s="8"/>
      <c r="EO1179" s="8"/>
      <c r="EP1179" s="8"/>
      <c r="EQ1179" s="8"/>
      <c r="ER1179" s="8"/>
      <c r="ES1179" s="8"/>
      <c r="ET1179" s="8"/>
      <c r="EU1179" s="8"/>
      <c r="EV1179" s="8"/>
      <c r="EW1179" s="8"/>
      <c r="EX1179" s="8"/>
      <c r="EY1179" s="8"/>
      <c r="EZ1179" s="8"/>
      <c r="FA1179" s="8"/>
      <c r="FB1179" s="8"/>
      <c r="FC1179" s="8"/>
      <c r="FD1179" s="8"/>
      <c r="FE1179" s="8"/>
      <c r="FF1179" s="8"/>
      <c r="FG1179" s="8"/>
      <c r="FH1179" s="8"/>
      <c r="FI1179" s="8"/>
      <c r="FJ1179" s="8"/>
      <c r="FK1179" s="8"/>
      <c r="FL1179" s="8"/>
      <c r="FM1179" s="8"/>
      <c r="FN1179" s="8"/>
      <c r="FO1179" s="8"/>
      <c r="FP1179" s="8"/>
      <c r="FQ1179" s="8"/>
      <c r="FR1179" s="8"/>
      <c r="FS1179" s="8"/>
      <c r="FT1179" s="8"/>
      <c r="FU1179" s="8"/>
      <c r="FV1179" s="8"/>
      <c r="FW1179" s="8"/>
      <c r="FX1179" s="8"/>
      <c r="FY1179" s="8"/>
      <c r="FZ1179" s="8"/>
      <c r="GA1179" s="8"/>
      <c r="GB1179" s="8"/>
      <c r="GC1179" s="8"/>
      <c r="GD1179" s="8"/>
      <c r="GE1179" s="8"/>
      <c r="GF1179" s="8"/>
      <c r="GG1179" s="8"/>
      <c r="GH1179" s="8"/>
      <c r="GI1179" s="8"/>
      <c r="GJ1179" s="8"/>
      <c r="GK1179" s="8"/>
      <c r="GL1179" s="8"/>
      <c r="GM1179" s="8"/>
      <c r="GN1179" s="8"/>
      <c r="GO1179" s="8"/>
      <c r="GP1179" s="8"/>
      <c r="GQ1179" s="8"/>
      <c r="GR1179" s="8"/>
      <c r="GS1179" s="8"/>
      <c r="GT1179" s="8"/>
      <c r="GU1179" s="8"/>
      <c r="GV1179" s="8"/>
      <c r="GW1179" s="8"/>
      <c r="GX1179" s="8"/>
      <c r="GY1179" s="8"/>
      <c r="GZ1179" s="8"/>
      <c r="HA1179" s="8"/>
      <c r="HB1179" s="8"/>
      <c r="HC1179" s="8"/>
      <c r="HD1179" s="8"/>
      <c r="HE1179" s="8"/>
      <c r="HF1179" s="8"/>
      <c r="HG1179" s="8"/>
      <c r="HH1179" s="8"/>
      <c r="HI1179" s="8"/>
      <c r="HJ1179" s="8"/>
      <c r="HK1179" s="8"/>
      <c r="HL1179" s="8"/>
      <c r="HM1179" s="8"/>
      <c r="HN1179" s="8"/>
      <c r="HO1179" s="8"/>
      <c r="HP1179" s="8"/>
      <c r="HQ1179" s="8"/>
      <c r="HR1179" s="8"/>
      <c r="HS1179" s="8"/>
      <c r="HT1179" s="8"/>
      <c r="HU1179" s="8"/>
      <c r="HV1179" s="8"/>
      <c r="HW1179" s="8"/>
      <c r="HX1179" s="8"/>
      <c r="HY1179" s="8"/>
      <c r="HZ1179" s="8"/>
      <c r="IA1179" s="8"/>
      <c r="IB1179" s="8"/>
      <c r="IC1179" s="8"/>
      <c r="ID1179" s="8"/>
      <c r="IE1179" s="8"/>
      <c r="IF1179" s="8"/>
    </row>
    <row r="1180" spans="1:240" ht="30" customHeight="1">
      <c r="A1180" s="5">
        <v>1178</v>
      </c>
      <c r="B1180" s="5"/>
      <c r="C1180" s="5"/>
      <c r="D1180" s="5" t="s">
        <v>68</v>
      </c>
      <c r="E1180" s="5" t="s">
        <v>48</v>
      </c>
      <c r="F1180" s="5" t="s">
        <v>48</v>
      </c>
      <c r="G1180" s="5" t="s">
        <v>48</v>
      </c>
      <c r="H1180" s="15">
        <f>2340*0.454</f>
        <v>1062.3600000000001</v>
      </c>
      <c r="I1180" s="5" t="s">
        <v>13</v>
      </c>
      <c r="J1180" s="15">
        <f>141/4.4</f>
        <v>32.04545454545454</v>
      </c>
      <c r="K1180" s="15">
        <f t="shared" si="35"/>
        <v>5.5560000000000009</v>
      </c>
      <c r="L1180" s="24">
        <v>205.70689884160402</v>
      </c>
      <c r="M1180" s="5">
        <f t="shared" si="34"/>
        <v>3.8800000000000026</v>
      </c>
      <c r="N1180" s="5"/>
      <c r="O1180" s="15">
        <f>12100*1.6978</f>
        <v>20543.38</v>
      </c>
      <c r="P1180" s="5"/>
      <c r="Q1180" s="5"/>
      <c r="R1180" s="5">
        <v>2</v>
      </c>
      <c r="S1180" s="5"/>
      <c r="T1180" s="5"/>
      <c r="U1180" s="5"/>
      <c r="V1180" s="15">
        <f>5*0.7457*R1180</f>
        <v>7.4570000000000007</v>
      </c>
      <c r="W1180" s="5"/>
      <c r="X1180" s="5"/>
      <c r="Y1180" s="5" t="s">
        <v>48</v>
      </c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16" t="s">
        <v>48</v>
      </c>
      <c r="AN1180" s="5"/>
      <c r="AO1180" s="8"/>
      <c r="AP1180" s="8"/>
      <c r="AQ1180" s="8"/>
      <c r="AR1180" s="8"/>
      <c r="AS1180" s="8"/>
      <c r="AT1180" s="8"/>
      <c r="AU1180" s="8"/>
      <c r="AV1180" s="8"/>
      <c r="AW1180" s="8"/>
      <c r="AX1180" s="8"/>
      <c r="AY1180" s="8"/>
      <c r="AZ1180" s="8"/>
      <c r="BA1180" s="8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8"/>
      <c r="BS1180" s="8"/>
      <c r="BT1180" s="8"/>
      <c r="BU1180" s="8"/>
      <c r="BV1180" s="8"/>
      <c r="BW1180" s="8"/>
      <c r="BX1180" s="8"/>
      <c r="BY1180" s="8"/>
      <c r="BZ1180" s="8"/>
      <c r="CA1180" s="8"/>
      <c r="CB1180" s="8"/>
      <c r="CC1180" s="8"/>
      <c r="CD1180" s="8"/>
      <c r="CE1180" s="8"/>
      <c r="CF1180" s="8"/>
      <c r="CG1180" s="8"/>
      <c r="CH1180" s="8"/>
      <c r="CI1180" s="8"/>
      <c r="CJ1180" s="8"/>
      <c r="CK1180" s="8"/>
      <c r="CL1180" s="8"/>
      <c r="CM1180" s="8"/>
      <c r="CN1180" s="8"/>
      <c r="CO1180" s="8"/>
      <c r="CP1180" s="8"/>
      <c r="CQ1180" s="8"/>
      <c r="CR1180" s="8"/>
      <c r="CS1180" s="8"/>
      <c r="CT1180" s="8"/>
      <c r="CU1180" s="8"/>
      <c r="CV1180" s="8"/>
      <c r="CW1180" s="8"/>
      <c r="CX1180" s="8"/>
      <c r="CY1180" s="8"/>
      <c r="CZ1180" s="8"/>
      <c r="DA1180" s="8"/>
      <c r="DB1180" s="8"/>
      <c r="DC1180" s="8"/>
      <c r="DD1180" s="8"/>
      <c r="DE1180" s="8"/>
      <c r="DF1180" s="8"/>
      <c r="DG1180" s="8"/>
      <c r="DH1180" s="8"/>
      <c r="DI1180" s="8"/>
      <c r="DJ1180" s="8"/>
      <c r="DK1180" s="8"/>
      <c r="DL1180" s="8"/>
      <c r="DM1180" s="8"/>
      <c r="DN1180" s="8"/>
      <c r="DO1180" s="8"/>
      <c r="DP1180" s="8"/>
      <c r="DQ1180" s="8"/>
      <c r="DR1180" s="8"/>
      <c r="DS1180" s="8"/>
      <c r="DT1180" s="8"/>
      <c r="DU1180" s="8"/>
      <c r="DV1180" s="8"/>
      <c r="DW1180" s="8"/>
      <c r="DX1180" s="8"/>
      <c r="DY1180" s="8"/>
      <c r="DZ1180" s="8"/>
      <c r="EA1180" s="8"/>
      <c r="EB1180" s="8"/>
      <c r="EC1180" s="8"/>
      <c r="ED1180" s="8"/>
      <c r="EE1180" s="8"/>
      <c r="EF1180" s="8"/>
      <c r="EG1180" s="8"/>
      <c r="EH1180" s="8"/>
      <c r="EI1180" s="8"/>
      <c r="EJ1180" s="8"/>
      <c r="EK1180" s="8"/>
      <c r="EL1180" s="8"/>
      <c r="EM1180" s="8"/>
      <c r="EN1180" s="8"/>
      <c r="EO1180" s="8"/>
      <c r="EP1180" s="8"/>
      <c r="EQ1180" s="8"/>
      <c r="ER1180" s="8"/>
      <c r="ES1180" s="8"/>
      <c r="ET1180" s="8"/>
      <c r="EU1180" s="8"/>
      <c r="EV1180" s="8"/>
      <c r="EW1180" s="8"/>
      <c r="EX1180" s="8"/>
      <c r="EY1180" s="8"/>
      <c r="EZ1180" s="8"/>
      <c r="FA1180" s="8"/>
      <c r="FB1180" s="8"/>
      <c r="FC1180" s="8"/>
      <c r="FD1180" s="8"/>
      <c r="FE1180" s="8"/>
      <c r="FF1180" s="8"/>
      <c r="FG1180" s="8"/>
      <c r="FH1180" s="8"/>
      <c r="FI1180" s="8"/>
      <c r="FJ1180" s="8"/>
      <c r="FK1180" s="8"/>
      <c r="FL1180" s="8"/>
      <c r="FM1180" s="8"/>
      <c r="FN1180" s="8"/>
      <c r="FO1180" s="8"/>
      <c r="FP1180" s="8"/>
      <c r="FQ1180" s="8"/>
      <c r="FR1180" s="8"/>
      <c r="FS1180" s="8"/>
      <c r="FT1180" s="8"/>
      <c r="FU1180" s="8"/>
      <c r="FV1180" s="8"/>
      <c r="FW1180" s="8"/>
      <c r="FX1180" s="8"/>
      <c r="FY1180" s="8"/>
      <c r="FZ1180" s="8"/>
      <c r="GA1180" s="8"/>
      <c r="GB1180" s="8"/>
      <c r="GC1180" s="8"/>
      <c r="GD1180" s="8"/>
      <c r="GE1180" s="8"/>
      <c r="GF1180" s="8"/>
      <c r="GG1180" s="8"/>
      <c r="GH1180" s="8"/>
      <c r="GI1180" s="8"/>
      <c r="GJ1180" s="8"/>
      <c r="GK1180" s="8"/>
      <c r="GL1180" s="8"/>
      <c r="GM1180" s="8"/>
      <c r="GN1180" s="8"/>
      <c r="GO1180" s="8"/>
      <c r="GP1180" s="8"/>
      <c r="GQ1180" s="8"/>
      <c r="GR1180" s="8"/>
      <c r="GS1180" s="8"/>
      <c r="GT1180" s="8"/>
      <c r="GU1180" s="8"/>
      <c r="GV1180" s="8"/>
      <c r="GW1180" s="8"/>
      <c r="GX1180" s="8"/>
      <c r="GY1180" s="8"/>
      <c r="GZ1180" s="8"/>
      <c r="HA1180" s="8"/>
      <c r="HB1180" s="8"/>
      <c r="HC1180" s="8"/>
      <c r="HD1180" s="8"/>
      <c r="HE1180" s="8"/>
      <c r="HF1180" s="8"/>
      <c r="HG1180" s="8"/>
      <c r="HH1180" s="8"/>
      <c r="HI1180" s="8"/>
      <c r="HJ1180" s="8"/>
      <c r="HK1180" s="8"/>
      <c r="HL1180" s="8"/>
      <c r="HM1180" s="8"/>
      <c r="HN1180" s="8"/>
      <c r="HO1180" s="8"/>
      <c r="HP1180" s="8"/>
      <c r="HQ1180" s="8"/>
      <c r="HR1180" s="8"/>
      <c r="HS1180" s="8"/>
      <c r="HT1180" s="8"/>
      <c r="HU1180" s="8"/>
      <c r="HV1180" s="8"/>
      <c r="HW1180" s="8"/>
      <c r="HX1180" s="8"/>
      <c r="HY1180" s="8"/>
      <c r="HZ1180" s="8"/>
      <c r="IA1180" s="8"/>
      <c r="IB1180" s="8"/>
      <c r="IC1180" s="8"/>
      <c r="ID1180" s="8"/>
      <c r="IE1180" s="8"/>
      <c r="IF1180" s="8"/>
    </row>
    <row r="1181" spans="1:240" ht="30" customHeight="1">
      <c r="A1181" s="5">
        <v>1179</v>
      </c>
      <c r="B1181" s="5"/>
      <c r="C1181" s="5"/>
      <c r="D1181" s="5" t="s">
        <v>68</v>
      </c>
      <c r="E1181" s="5" t="s">
        <v>48</v>
      </c>
      <c r="F1181" s="5" t="s">
        <v>48</v>
      </c>
      <c r="G1181" s="5" t="s">
        <v>48</v>
      </c>
      <c r="H1181" s="15">
        <f>2390*0.454</f>
        <v>1085.06</v>
      </c>
      <c r="I1181" s="5" t="s">
        <v>13</v>
      </c>
      <c r="J1181" s="15">
        <f>164/4.4</f>
        <v>37.272727272727266</v>
      </c>
      <c r="K1181" s="15">
        <f t="shared" si="35"/>
        <v>5.5560000000000009</v>
      </c>
      <c r="L1181" s="24">
        <v>239.2619248937805</v>
      </c>
      <c r="M1181" s="5">
        <f t="shared" si="34"/>
        <v>3.8800000000000026</v>
      </c>
      <c r="N1181" s="5"/>
      <c r="O1181" s="15">
        <f>13700*1.6978</f>
        <v>23259.86</v>
      </c>
      <c r="P1181" s="5"/>
      <c r="Q1181" s="5"/>
      <c r="R1181" s="5">
        <v>2</v>
      </c>
      <c r="S1181" s="5"/>
      <c r="T1181" s="5"/>
      <c r="U1181" s="5"/>
      <c r="V1181" s="15">
        <f>7.5*0.7457*R1181</f>
        <v>11.185500000000001</v>
      </c>
      <c r="W1181" s="5"/>
      <c r="X1181" s="5"/>
      <c r="Y1181" s="5" t="s">
        <v>48</v>
      </c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16" t="s">
        <v>48</v>
      </c>
      <c r="AN1181" s="5"/>
      <c r="AO1181" s="8"/>
      <c r="AP1181" s="8"/>
      <c r="AQ1181" s="8"/>
      <c r="AR1181" s="8"/>
      <c r="AS1181" s="8"/>
      <c r="AT1181" s="8"/>
      <c r="AU1181" s="8"/>
      <c r="AV1181" s="8"/>
      <c r="AW1181" s="8"/>
      <c r="AX1181" s="8"/>
      <c r="AY1181" s="8"/>
      <c r="AZ1181" s="8"/>
      <c r="BA1181" s="8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8"/>
      <c r="BS1181" s="8"/>
      <c r="BT1181" s="8"/>
      <c r="BU1181" s="8"/>
      <c r="BV1181" s="8"/>
      <c r="BW1181" s="8"/>
      <c r="BX1181" s="8"/>
      <c r="BY1181" s="8"/>
      <c r="BZ1181" s="8"/>
      <c r="CA1181" s="8"/>
      <c r="CB1181" s="8"/>
      <c r="CC1181" s="8"/>
      <c r="CD1181" s="8"/>
      <c r="CE1181" s="8"/>
      <c r="CF1181" s="8"/>
      <c r="CG1181" s="8"/>
      <c r="CH1181" s="8"/>
      <c r="CI1181" s="8"/>
      <c r="CJ1181" s="8"/>
      <c r="CK1181" s="8"/>
      <c r="CL1181" s="8"/>
      <c r="CM1181" s="8"/>
      <c r="CN1181" s="8"/>
      <c r="CO1181" s="8"/>
      <c r="CP1181" s="8"/>
      <c r="CQ1181" s="8"/>
      <c r="CR1181" s="8"/>
      <c r="CS1181" s="8"/>
      <c r="CT1181" s="8"/>
      <c r="CU1181" s="8"/>
      <c r="CV1181" s="8"/>
      <c r="CW1181" s="8"/>
      <c r="CX1181" s="8"/>
      <c r="CY1181" s="8"/>
      <c r="CZ1181" s="8"/>
      <c r="DA1181" s="8"/>
      <c r="DB1181" s="8"/>
      <c r="DC1181" s="8"/>
      <c r="DD1181" s="8"/>
      <c r="DE1181" s="8"/>
      <c r="DF1181" s="8"/>
      <c r="DG1181" s="8"/>
      <c r="DH1181" s="8"/>
      <c r="DI1181" s="8"/>
      <c r="DJ1181" s="8"/>
      <c r="DK1181" s="8"/>
      <c r="DL1181" s="8"/>
      <c r="DM1181" s="8"/>
      <c r="DN1181" s="8"/>
      <c r="DO1181" s="8"/>
      <c r="DP1181" s="8"/>
      <c r="DQ1181" s="8"/>
      <c r="DR1181" s="8"/>
      <c r="DS1181" s="8"/>
      <c r="DT1181" s="8"/>
      <c r="DU1181" s="8"/>
      <c r="DV1181" s="8"/>
      <c r="DW1181" s="8"/>
      <c r="DX1181" s="8"/>
      <c r="DY1181" s="8"/>
      <c r="DZ1181" s="8"/>
      <c r="EA1181" s="8"/>
      <c r="EB1181" s="8"/>
      <c r="EC1181" s="8"/>
      <c r="ED1181" s="8"/>
      <c r="EE1181" s="8"/>
      <c r="EF1181" s="8"/>
      <c r="EG1181" s="8"/>
      <c r="EH1181" s="8"/>
      <c r="EI1181" s="8"/>
      <c r="EJ1181" s="8"/>
      <c r="EK1181" s="8"/>
      <c r="EL1181" s="8"/>
      <c r="EM1181" s="8"/>
      <c r="EN1181" s="8"/>
      <c r="EO1181" s="8"/>
      <c r="EP1181" s="8"/>
      <c r="EQ1181" s="8"/>
      <c r="ER1181" s="8"/>
      <c r="ES1181" s="8"/>
      <c r="ET1181" s="8"/>
      <c r="EU1181" s="8"/>
      <c r="EV1181" s="8"/>
      <c r="EW1181" s="8"/>
      <c r="EX1181" s="8"/>
      <c r="EY1181" s="8"/>
      <c r="EZ1181" s="8"/>
      <c r="FA1181" s="8"/>
      <c r="FB1181" s="8"/>
      <c r="FC1181" s="8"/>
      <c r="FD1181" s="8"/>
      <c r="FE1181" s="8"/>
      <c r="FF1181" s="8"/>
      <c r="FG1181" s="8"/>
      <c r="FH1181" s="8"/>
      <c r="FI1181" s="8"/>
      <c r="FJ1181" s="8"/>
      <c r="FK1181" s="8"/>
      <c r="FL1181" s="8"/>
      <c r="FM1181" s="8"/>
      <c r="FN1181" s="8"/>
      <c r="FO1181" s="8"/>
      <c r="FP1181" s="8"/>
      <c r="FQ1181" s="8"/>
      <c r="FR1181" s="8"/>
      <c r="FS1181" s="8"/>
      <c r="FT1181" s="8"/>
      <c r="FU1181" s="8"/>
      <c r="FV1181" s="8"/>
      <c r="FW1181" s="8"/>
      <c r="FX1181" s="8"/>
      <c r="FY1181" s="8"/>
      <c r="FZ1181" s="8"/>
      <c r="GA1181" s="8"/>
      <c r="GB1181" s="8"/>
      <c r="GC1181" s="8"/>
      <c r="GD1181" s="8"/>
      <c r="GE1181" s="8"/>
      <c r="GF1181" s="8"/>
      <c r="GG1181" s="8"/>
      <c r="GH1181" s="8"/>
      <c r="GI1181" s="8"/>
      <c r="GJ1181" s="8"/>
      <c r="GK1181" s="8"/>
      <c r="GL1181" s="8"/>
      <c r="GM1181" s="8"/>
      <c r="GN1181" s="8"/>
      <c r="GO1181" s="8"/>
      <c r="GP1181" s="8"/>
      <c r="GQ1181" s="8"/>
      <c r="GR1181" s="8"/>
      <c r="GS1181" s="8"/>
      <c r="GT1181" s="8"/>
      <c r="GU1181" s="8"/>
      <c r="GV1181" s="8"/>
      <c r="GW1181" s="8"/>
      <c r="GX1181" s="8"/>
      <c r="GY1181" s="8"/>
      <c r="GZ1181" s="8"/>
      <c r="HA1181" s="8"/>
      <c r="HB1181" s="8"/>
      <c r="HC1181" s="8"/>
      <c r="HD1181" s="8"/>
      <c r="HE1181" s="8"/>
      <c r="HF1181" s="8"/>
      <c r="HG1181" s="8"/>
      <c r="HH1181" s="8"/>
      <c r="HI1181" s="8"/>
      <c r="HJ1181" s="8"/>
      <c r="HK1181" s="8"/>
      <c r="HL1181" s="8"/>
      <c r="HM1181" s="8"/>
      <c r="HN1181" s="8"/>
      <c r="HO1181" s="8"/>
      <c r="HP1181" s="8"/>
      <c r="HQ1181" s="8"/>
      <c r="HR1181" s="8"/>
      <c r="HS1181" s="8"/>
      <c r="HT1181" s="8"/>
      <c r="HU1181" s="8"/>
      <c r="HV1181" s="8"/>
      <c r="HW1181" s="8"/>
      <c r="HX1181" s="8"/>
      <c r="HY1181" s="8"/>
      <c r="HZ1181" s="8"/>
      <c r="IA1181" s="8"/>
      <c r="IB1181" s="8"/>
      <c r="IC1181" s="8"/>
      <c r="ID1181" s="8"/>
      <c r="IE1181" s="8"/>
      <c r="IF1181" s="8"/>
    </row>
    <row r="1182" spans="1:240" ht="30" customHeight="1">
      <c r="A1182" s="5">
        <v>1180</v>
      </c>
      <c r="B1182" s="5"/>
      <c r="C1182" s="5"/>
      <c r="D1182" s="5" t="s">
        <v>68</v>
      </c>
      <c r="E1182" s="5" t="s">
        <v>48</v>
      </c>
      <c r="F1182" s="5" t="s">
        <v>48</v>
      </c>
      <c r="G1182" s="5" t="s">
        <v>48</v>
      </c>
      <c r="H1182" s="15">
        <f>2460*0.454</f>
        <v>1116.8400000000001</v>
      </c>
      <c r="I1182" s="5" t="s">
        <v>13</v>
      </c>
      <c r="J1182" s="15">
        <f>182/4.4</f>
        <v>41.36363636363636</v>
      </c>
      <c r="K1182" s="15">
        <f t="shared" si="35"/>
        <v>5.5560000000000009</v>
      </c>
      <c r="L1182" s="24">
        <v>265.52238006504911</v>
      </c>
      <c r="M1182" s="5">
        <f t="shared" si="34"/>
        <v>3.8800000000000026</v>
      </c>
      <c r="N1182" s="5"/>
      <c r="O1182" s="15">
        <f>13300*1.6978</f>
        <v>22580.739999999998</v>
      </c>
      <c r="P1182" s="5"/>
      <c r="Q1182" s="5"/>
      <c r="R1182" s="5">
        <v>2</v>
      </c>
      <c r="S1182" s="5"/>
      <c r="T1182" s="5"/>
      <c r="U1182" s="5"/>
      <c r="V1182" s="15">
        <f>7.5*0.7457*R1182</f>
        <v>11.185500000000001</v>
      </c>
      <c r="W1182" s="5"/>
      <c r="X1182" s="5"/>
      <c r="Y1182" s="5" t="s">
        <v>48</v>
      </c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16" t="s">
        <v>48</v>
      </c>
      <c r="AN1182" s="5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8"/>
      <c r="BS1182" s="8"/>
      <c r="BT1182" s="8"/>
      <c r="BU1182" s="8"/>
      <c r="BV1182" s="8"/>
      <c r="BW1182" s="8"/>
      <c r="BX1182" s="8"/>
      <c r="BY1182" s="8"/>
      <c r="BZ1182" s="8"/>
      <c r="CA1182" s="8"/>
      <c r="CB1182" s="8"/>
      <c r="CC1182" s="8"/>
      <c r="CD1182" s="8"/>
      <c r="CE1182" s="8"/>
      <c r="CF1182" s="8"/>
      <c r="CG1182" s="8"/>
      <c r="CH1182" s="8"/>
      <c r="CI1182" s="8"/>
      <c r="CJ1182" s="8"/>
      <c r="CK1182" s="8"/>
      <c r="CL1182" s="8"/>
      <c r="CM1182" s="8"/>
      <c r="CN1182" s="8"/>
      <c r="CO1182" s="8"/>
      <c r="CP1182" s="8"/>
      <c r="CQ1182" s="8"/>
      <c r="CR1182" s="8"/>
      <c r="CS1182" s="8"/>
      <c r="CT1182" s="8"/>
      <c r="CU1182" s="8"/>
      <c r="CV1182" s="8"/>
      <c r="CW1182" s="8"/>
      <c r="CX1182" s="8"/>
      <c r="CY1182" s="8"/>
      <c r="CZ1182" s="8"/>
      <c r="DA1182" s="8"/>
      <c r="DB1182" s="8"/>
      <c r="DC1182" s="8"/>
      <c r="DD1182" s="8"/>
      <c r="DE1182" s="8"/>
      <c r="DF1182" s="8"/>
      <c r="DG1182" s="8"/>
      <c r="DH1182" s="8"/>
      <c r="DI1182" s="8"/>
      <c r="DJ1182" s="8"/>
      <c r="DK1182" s="8"/>
      <c r="DL1182" s="8"/>
      <c r="DM1182" s="8"/>
      <c r="DN1182" s="8"/>
      <c r="DO1182" s="8"/>
      <c r="DP1182" s="8"/>
      <c r="DQ1182" s="8"/>
      <c r="DR1182" s="8"/>
      <c r="DS1182" s="8"/>
      <c r="DT1182" s="8"/>
      <c r="DU1182" s="8"/>
      <c r="DV1182" s="8"/>
      <c r="DW1182" s="8"/>
      <c r="DX1182" s="8"/>
      <c r="DY1182" s="8"/>
      <c r="DZ1182" s="8"/>
      <c r="EA1182" s="8"/>
      <c r="EB1182" s="8"/>
      <c r="EC1182" s="8"/>
      <c r="ED1182" s="8"/>
      <c r="EE1182" s="8"/>
      <c r="EF1182" s="8"/>
      <c r="EG1182" s="8"/>
      <c r="EH1182" s="8"/>
      <c r="EI1182" s="8"/>
      <c r="EJ1182" s="8"/>
      <c r="EK1182" s="8"/>
      <c r="EL1182" s="8"/>
      <c r="EM1182" s="8"/>
      <c r="EN1182" s="8"/>
      <c r="EO1182" s="8"/>
      <c r="EP1182" s="8"/>
      <c r="EQ1182" s="8"/>
      <c r="ER1182" s="8"/>
      <c r="ES1182" s="8"/>
      <c r="ET1182" s="8"/>
      <c r="EU1182" s="8"/>
      <c r="EV1182" s="8"/>
      <c r="EW1182" s="8"/>
      <c r="EX1182" s="8"/>
      <c r="EY1182" s="8"/>
      <c r="EZ1182" s="8"/>
      <c r="FA1182" s="8"/>
      <c r="FB1182" s="8"/>
      <c r="FC1182" s="8"/>
      <c r="FD1182" s="8"/>
      <c r="FE1182" s="8"/>
      <c r="FF1182" s="8"/>
      <c r="FG1182" s="8"/>
      <c r="FH1182" s="8"/>
      <c r="FI1182" s="8"/>
      <c r="FJ1182" s="8"/>
      <c r="FK1182" s="8"/>
      <c r="FL1182" s="8"/>
      <c r="FM1182" s="8"/>
      <c r="FN1182" s="8"/>
      <c r="FO1182" s="8"/>
      <c r="FP1182" s="8"/>
      <c r="FQ1182" s="8"/>
      <c r="FR1182" s="8"/>
      <c r="FS1182" s="8"/>
      <c r="FT1182" s="8"/>
      <c r="FU1182" s="8"/>
      <c r="FV1182" s="8"/>
      <c r="FW1182" s="8"/>
      <c r="FX1182" s="8"/>
      <c r="FY1182" s="8"/>
      <c r="FZ1182" s="8"/>
      <c r="GA1182" s="8"/>
      <c r="GB1182" s="8"/>
      <c r="GC1182" s="8"/>
      <c r="GD1182" s="8"/>
      <c r="GE1182" s="8"/>
      <c r="GF1182" s="8"/>
      <c r="GG1182" s="8"/>
      <c r="GH1182" s="8"/>
      <c r="GI1182" s="8"/>
      <c r="GJ1182" s="8"/>
      <c r="GK1182" s="8"/>
      <c r="GL1182" s="8"/>
      <c r="GM1182" s="8"/>
      <c r="GN1182" s="8"/>
      <c r="GO1182" s="8"/>
      <c r="GP1182" s="8"/>
      <c r="GQ1182" s="8"/>
      <c r="GR1182" s="8"/>
      <c r="GS1182" s="8"/>
      <c r="GT1182" s="8"/>
      <c r="GU1182" s="8"/>
      <c r="GV1182" s="8"/>
      <c r="GW1182" s="8"/>
      <c r="GX1182" s="8"/>
      <c r="GY1182" s="8"/>
      <c r="GZ1182" s="8"/>
      <c r="HA1182" s="8"/>
      <c r="HB1182" s="8"/>
      <c r="HC1182" s="8"/>
      <c r="HD1182" s="8"/>
      <c r="HE1182" s="8"/>
      <c r="HF1182" s="8"/>
      <c r="HG1182" s="8"/>
      <c r="HH1182" s="8"/>
      <c r="HI1182" s="8"/>
      <c r="HJ1182" s="8"/>
      <c r="HK1182" s="8"/>
      <c r="HL1182" s="8"/>
      <c r="HM1182" s="8"/>
      <c r="HN1182" s="8"/>
      <c r="HO1182" s="8"/>
      <c r="HP1182" s="8"/>
      <c r="HQ1182" s="8"/>
      <c r="HR1182" s="8"/>
      <c r="HS1182" s="8"/>
      <c r="HT1182" s="8"/>
      <c r="HU1182" s="8"/>
      <c r="HV1182" s="8"/>
      <c r="HW1182" s="8"/>
      <c r="HX1182" s="8"/>
      <c r="HY1182" s="8"/>
      <c r="HZ1182" s="8"/>
      <c r="IA1182" s="8"/>
      <c r="IB1182" s="8"/>
      <c r="IC1182" s="8"/>
      <c r="ID1182" s="8"/>
      <c r="IE1182" s="8"/>
      <c r="IF1182" s="8"/>
    </row>
    <row r="1183" spans="1:240" ht="30" customHeight="1">
      <c r="A1183" s="5">
        <v>1181</v>
      </c>
      <c r="B1183" s="5"/>
      <c r="C1183" s="5"/>
      <c r="D1183" s="5" t="s">
        <v>68</v>
      </c>
      <c r="E1183" s="5" t="s">
        <v>48</v>
      </c>
      <c r="F1183" s="5" t="s">
        <v>48</v>
      </c>
      <c r="G1183" s="5" t="s">
        <v>48</v>
      </c>
      <c r="H1183" s="15">
        <f>2470*0.454</f>
        <v>1121.3800000000001</v>
      </c>
      <c r="I1183" s="5" t="s">
        <v>13</v>
      </c>
      <c r="J1183" s="15">
        <f>200/4.4</f>
        <v>45.454545454545453</v>
      </c>
      <c r="K1183" s="15">
        <f t="shared" si="35"/>
        <v>5.5560000000000009</v>
      </c>
      <c r="L1183" s="24">
        <v>291.78283523631774</v>
      </c>
      <c r="M1183" s="5">
        <f t="shared" si="34"/>
        <v>3.8800000000000026</v>
      </c>
      <c r="N1183" s="5"/>
      <c r="O1183" s="15">
        <f>14500*1.6978</f>
        <v>24618.1</v>
      </c>
      <c r="P1183" s="5"/>
      <c r="Q1183" s="5"/>
      <c r="R1183" s="5">
        <v>2</v>
      </c>
      <c r="S1183" s="5"/>
      <c r="T1183" s="5"/>
      <c r="U1183" s="5"/>
      <c r="V1183" s="15">
        <f>10*0.7457*R1183</f>
        <v>14.914000000000001</v>
      </c>
      <c r="W1183" s="5"/>
      <c r="X1183" s="5"/>
      <c r="Y1183" s="5" t="s">
        <v>48</v>
      </c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16" t="s">
        <v>48</v>
      </c>
      <c r="AN1183" s="5"/>
      <c r="AO1183" s="8"/>
      <c r="AP1183" s="8"/>
      <c r="AQ1183" s="8"/>
      <c r="AR1183" s="8"/>
      <c r="AS1183" s="8"/>
      <c r="AT1183" s="8"/>
      <c r="AU1183" s="8"/>
      <c r="AV1183" s="8"/>
      <c r="AW1183" s="8"/>
      <c r="AX1183" s="8"/>
      <c r="AY1183" s="8"/>
      <c r="AZ1183" s="8"/>
      <c r="BA1183" s="8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8"/>
      <c r="BS1183" s="8"/>
      <c r="BT1183" s="8"/>
      <c r="BU1183" s="8"/>
      <c r="BV1183" s="8"/>
      <c r="BW1183" s="8"/>
      <c r="BX1183" s="8"/>
      <c r="BY1183" s="8"/>
      <c r="BZ1183" s="8"/>
      <c r="CA1183" s="8"/>
      <c r="CB1183" s="8"/>
      <c r="CC1183" s="8"/>
      <c r="CD1183" s="8"/>
      <c r="CE1183" s="8"/>
      <c r="CF1183" s="8"/>
      <c r="CG1183" s="8"/>
      <c r="CH1183" s="8"/>
      <c r="CI1183" s="8"/>
      <c r="CJ1183" s="8"/>
      <c r="CK1183" s="8"/>
      <c r="CL1183" s="8"/>
      <c r="CM1183" s="8"/>
      <c r="CN1183" s="8"/>
      <c r="CO1183" s="8"/>
      <c r="CP1183" s="8"/>
      <c r="CQ1183" s="8"/>
      <c r="CR1183" s="8"/>
      <c r="CS1183" s="8"/>
      <c r="CT1183" s="8"/>
      <c r="CU1183" s="8"/>
      <c r="CV1183" s="8"/>
      <c r="CW1183" s="8"/>
      <c r="CX1183" s="8"/>
      <c r="CY1183" s="8"/>
      <c r="CZ1183" s="8"/>
      <c r="DA1183" s="8"/>
      <c r="DB1183" s="8"/>
      <c r="DC1183" s="8"/>
      <c r="DD1183" s="8"/>
      <c r="DE1183" s="8"/>
      <c r="DF1183" s="8"/>
      <c r="DG1183" s="8"/>
      <c r="DH1183" s="8"/>
      <c r="DI1183" s="8"/>
      <c r="DJ1183" s="8"/>
      <c r="DK1183" s="8"/>
      <c r="DL1183" s="8"/>
      <c r="DM1183" s="8"/>
      <c r="DN1183" s="8"/>
      <c r="DO1183" s="8"/>
      <c r="DP1183" s="8"/>
      <c r="DQ1183" s="8"/>
      <c r="DR1183" s="8"/>
      <c r="DS1183" s="8"/>
      <c r="DT1183" s="8"/>
      <c r="DU1183" s="8"/>
      <c r="DV1183" s="8"/>
      <c r="DW1183" s="8"/>
      <c r="DX1183" s="8"/>
      <c r="DY1183" s="8"/>
      <c r="DZ1183" s="8"/>
      <c r="EA1183" s="8"/>
      <c r="EB1183" s="8"/>
      <c r="EC1183" s="8"/>
      <c r="ED1183" s="8"/>
      <c r="EE1183" s="8"/>
      <c r="EF1183" s="8"/>
      <c r="EG1183" s="8"/>
      <c r="EH1183" s="8"/>
      <c r="EI1183" s="8"/>
      <c r="EJ1183" s="8"/>
      <c r="EK1183" s="8"/>
      <c r="EL1183" s="8"/>
      <c r="EM1183" s="8"/>
      <c r="EN1183" s="8"/>
      <c r="EO1183" s="8"/>
      <c r="EP1183" s="8"/>
      <c r="EQ1183" s="8"/>
      <c r="ER1183" s="8"/>
      <c r="ES1183" s="8"/>
      <c r="ET1183" s="8"/>
      <c r="EU1183" s="8"/>
      <c r="EV1183" s="8"/>
      <c r="EW1183" s="8"/>
      <c r="EX1183" s="8"/>
      <c r="EY1183" s="8"/>
      <c r="EZ1183" s="8"/>
      <c r="FA1183" s="8"/>
      <c r="FB1183" s="8"/>
      <c r="FC1183" s="8"/>
      <c r="FD1183" s="8"/>
      <c r="FE1183" s="8"/>
      <c r="FF1183" s="8"/>
      <c r="FG1183" s="8"/>
      <c r="FH1183" s="8"/>
      <c r="FI1183" s="8"/>
      <c r="FJ1183" s="8"/>
      <c r="FK1183" s="8"/>
      <c r="FL1183" s="8"/>
      <c r="FM1183" s="8"/>
      <c r="FN1183" s="8"/>
      <c r="FO1183" s="8"/>
      <c r="FP1183" s="8"/>
      <c r="FQ1183" s="8"/>
      <c r="FR1183" s="8"/>
      <c r="FS1183" s="8"/>
      <c r="FT1183" s="8"/>
      <c r="FU1183" s="8"/>
      <c r="FV1183" s="8"/>
      <c r="FW1183" s="8"/>
      <c r="FX1183" s="8"/>
      <c r="FY1183" s="8"/>
      <c r="FZ1183" s="8"/>
      <c r="GA1183" s="8"/>
      <c r="GB1183" s="8"/>
      <c r="GC1183" s="8"/>
      <c r="GD1183" s="8"/>
      <c r="GE1183" s="8"/>
      <c r="GF1183" s="8"/>
      <c r="GG1183" s="8"/>
      <c r="GH1183" s="8"/>
      <c r="GI1183" s="8"/>
      <c r="GJ1183" s="8"/>
      <c r="GK1183" s="8"/>
      <c r="GL1183" s="8"/>
      <c r="GM1183" s="8"/>
      <c r="GN1183" s="8"/>
      <c r="GO1183" s="8"/>
      <c r="GP1183" s="8"/>
      <c r="GQ1183" s="8"/>
      <c r="GR1183" s="8"/>
      <c r="GS1183" s="8"/>
      <c r="GT1183" s="8"/>
      <c r="GU1183" s="8"/>
      <c r="GV1183" s="8"/>
      <c r="GW1183" s="8"/>
      <c r="GX1183" s="8"/>
      <c r="GY1183" s="8"/>
      <c r="GZ1183" s="8"/>
      <c r="HA1183" s="8"/>
      <c r="HB1183" s="8"/>
      <c r="HC1183" s="8"/>
      <c r="HD1183" s="8"/>
      <c r="HE1183" s="8"/>
      <c r="HF1183" s="8"/>
      <c r="HG1183" s="8"/>
      <c r="HH1183" s="8"/>
      <c r="HI1183" s="8"/>
      <c r="HJ1183" s="8"/>
      <c r="HK1183" s="8"/>
      <c r="HL1183" s="8"/>
      <c r="HM1183" s="8"/>
      <c r="HN1183" s="8"/>
      <c r="HO1183" s="8"/>
      <c r="HP1183" s="8"/>
      <c r="HQ1183" s="8"/>
      <c r="HR1183" s="8"/>
      <c r="HS1183" s="8"/>
      <c r="HT1183" s="8"/>
      <c r="HU1183" s="8"/>
      <c r="HV1183" s="8"/>
      <c r="HW1183" s="8"/>
      <c r="HX1183" s="8"/>
      <c r="HY1183" s="8"/>
      <c r="HZ1183" s="8"/>
      <c r="IA1183" s="8"/>
      <c r="IB1183" s="8"/>
      <c r="IC1183" s="8"/>
      <c r="ID1183" s="8"/>
      <c r="IE1183" s="8"/>
      <c r="IF1183" s="8"/>
    </row>
    <row r="1184" spans="1:240" ht="30" customHeight="1">
      <c r="A1184" s="5">
        <v>1182</v>
      </c>
      <c r="B1184" s="5"/>
      <c r="C1184" s="5"/>
      <c r="D1184" s="5" t="s">
        <v>68</v>
      </c>
      <c r="E1184" s="5" t="s">
        <v>48</v>
      </c>
      <c r="F1184" s="5" t="s">
        <v>48</v>
      </c>
      <c r="G1184" s="5" t="s">
        <v>48</v>
      </c>
      <c r="H1184" s="15">
        <f>3290*0.454</f>
        <v>1493.66</v>
      </c>
      <c r="I1184" s="5" t="s">
        <v>13</v>
      </c>
      <c r="J1184" s="15">
        <f>213/4.4</f>
        <v>48.409090909090907</v>
      </c>
      <c r="K1184" s="15">
        <f t="shared" si="35"/>
        <v>5.5560000000000009</v>
      </c>
      <c r="L1184" s="24">
        <v>310.74871952667843</v>
      </c>
      <c r="M1184" s="5">
        <f t="shared" si="34"/>
        <v>3.8800000000000026</v>
      </c>
      <c r="N1184" s="5"/>
      <c r="O1184" s="15">
        <f>18300*1.6978</f>
        <v>31069.739999999998</v>
      </c>
      <c r="P1184" s="5"/>
      <c r="Q1184" s="5"/>
      <c r="R1184" s="5">
        <v>3</v>
      </c>
      <c r="S1184" s="5"/>
      <c r="T1184" s="5"/>
      <c r="U1184" s="5"/>
      <c r="V1184" s="15">
        <f>7.5*0.7457*R1184</f>
        <v>16.77825</v>
      </c>
      <c r="W1184" s="5"/>
      <c r="X1184" s="5"/>
      <c r="Y1184" s="5" t="s">
        <v>48</v>
      </c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16" t="s">
        <v>48</v>
      </c>
      <c r="AN1184" s="5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8"/>
      <c r="BS1184" s="8"/>
      <c r="BT1184" s="8"/>
      <c r="BU1184" s="8"/>
      <c r="BV1184" s="8"/>
      <c r="BW1184" s="8"/>
      <c r="BX1184" s="8"/>
      <c r="BY1184" s="8"/>
      <c r="BZ1184" s="8"/>
      <c r="CA1184" s="8"/>
      <c r="CB1184" s="8"/>
      <c r="CC1184" s="8"/>
      <c r="CD1184" s="8"/>
      <c r="CE1184" s="8"/>
      <c r="CF1184" s="8"/>
      <c r="CG1184" s="8"/>
      <c r="CH1184" s="8"/>
      <c r="CI1184" s="8"/>
      <c r="CJ1184" s="8"/>
      <c r="CK1184" s="8"/>
      <c r="CL1184" s="8"/>
      <c r="CM1184" s="8"/>
      <c r="CN1184" s="8"/>
      <c r="CO1184" s="8"/>
      <c r="CP1184" s="8"/>
      <c r="CQ1184" s="8"/>
      <c r="CR1184" s="8"/>
      <c r="CS1184" s="8"/>
      <c r="CT1184" s="8"/>
      <c r="CU1184" s="8"/>
      <c r="CV1184" s="8"/>
      <c r="CW1184" s="8"/>
      <c r="CX1184" s="8"/>
      <c r="CY1184" s="8"/>
      <c r="CZ1184" s="8"/>
      <c r="DA1184" s="8"/>
      <c r="DB1184" s="8"/>
      <c r="DC1184" s="8"/>
      <c r="DD1184" s="8"/>
      <c r="DE1184" s="8"/>
      <c r="DF1184" s="8"/>
      <c r="DG1184" s="8"/>
      <c r="DH1184" s="8"/>
      <c r="DI1184" s="8"/>
      <c r="DJ1184" s="8"/>
      <c r="DK1184" s="8"/>
      <c r="DL1184" s="8"/>
      <c r="DM1184" s="8"/>
      <c r="DN1184" s="8"/>
      <c r="DO1184" s="8"/>
      <c r="DP1184" s="8"/>
      <c r="DQ1184" s="8"/>
      <c r="DR1184" s="8"/>
      <c r="DS1184" s="8"/>
      <c r="DT1184" s="8"/>
      <c r="DU1184" s="8"/>
      <c r="DV1184" s="8"/>
      <c r="DW1184" s="8"/>
      <c r="DX1184" s="8"/>
      <c r="DY1184" s="8"/>
      <c r="DZ1184" s="8"/>
      <c r="EA1184" s="8"/>
      <c r="EB1184" s="8"/>
      <c r="EC1184" s="8"/>
      <c r="ED1184" s="8"/>
      <c r="EE1184" s="8"/>
      <c r="EF1184" s="8"/>
      <c r="EG1184" s="8"/>
      <c r="EH1184" s="8"/>
      <c r="EI1184" s="8"/>
      <c r="EJ1184" s="8"/>
      <c r="EK1184" s="8"/>
      <c r="EL1184" s="8"/>
      <c r="EM1184" s="8"/>
      <c r="EN1184" s="8"/>
      <c r="EO1184" s="8"/>
      <c r="EP1184" s="8"/>
      <c r="EQ1184" s="8"/>
      <c r="ER1184" s="8"/>
      <c r="ES1184" s="8"/>
      <c r="ET1184" s="8"/>
      <c r="EU1184" s="8"/>
      <c r="EV1184" s="8"/>
      <c r="EW1184" s="8"/>
      <c r="EX1184" s="8"/>
      <c r="EY1184" s="8"/>
      <c r="EZ1184" s="8"/>
      <c r="FA1184" s="8"/>
      <c r="FB1184" s="8"/>
      <c r="FC1184" s="8"/>
      <c r="FD1184" s="8"/>
      <c r="FE1184" s="8"/>
      <c r="FF1184" s="8"/>
      <c r="FG1184" s="8"/>
      <c r="FH1184" s="8"/>
      <c r="FI1184" s="8"/>
      <c r="FJ1184" s="8"/>
      <c r="FK1184" s="8"/>
      <c r="FL1184" s="8"/>
      <c r="FM1184" s="8"/>
      <c r="FN1184" s="8"/>
      <c r="FO1184" s="8"/>
      <c r="FP1184" s="8"/>
      <c r="FQ1184" s="8"/>
      <c r="FR1184" s="8"/>
      <c r="FS1184" s="8"/>
      <c r="FT1184" s="8"/>
      <c r="FU1184" s="8"/>
      <c r="FV1184" s="8"/>
      <c r="FW1184" s="8"/>
      <c r="FX1184" s="8"/>
      <c r="FY1184" s="8"/>
      <c r="FZ1184" s="8"/>
      <c r="GA1184" s="8"/>
      <c r="GB1184" s="8"/>
      <c r="GC1184" s="8"/>
      <c r="GD1184" s="8"/>
      <c r="GE1184" s="8"/>
      <c r="GF1184" s="8"/>
      <c r="GG1184" s="8"/>
      <c r="GH1184" s="8"/>
      <c r="GI1184" s="8"/>
      <c r="GJ1184" s="8"/>
      <c r="GK1184" s="8"/>
      <c r="GL1184" s="8"/>
      <c r="GM1184" s="8"/>
      <c r="GN1184" s="8"/>
      <c r="GO1184" s="8"/>
      <c r="GP1184" s="8"/>
      <c r="GQ1184" s="8"/>
      <c r="GR1184" s="8"/>
      <c r="GS1184" s="8"/>
      <c r="GT1184" s="8"/>
      <c r="GU1184" s="8"/>
      <c r="GV1184" s="8"/>
      <c r="GW1184" s="8"/>
      <c r="GX1184" s="8"/>
      <c r="GY1184" s="8"/>
      <c r="GZ1184" s="8"/>
      <c r="HA1184" s="8"/>
      <c r="HB1184" s="8"/>
      <c r="HC1184" s="8"/>
      <c r="HD1184" s="8"/>
      <c r="HE1184" s="8"/>
      <c r="HF1184" s="8"/>
      <c r="HG1184" s="8"/>
      <c r="HH1184" s="8"/>
      <c r="HI1184" s="8"/>
      <c r="HJ1184" s="8"/>
      <c r="HK1184" s="8"/>
      <c r="HL1184" s="8"/>
      <c r="HM1184" s="8"/>
      <c r="HN1184" s="8"/>
      <c r="HO1184" s="8"/>
      <c r="HP1184" s="8"/>
      <c r="HQ1184" s="8"/>
      <c r="HR1184" s="8"/>
      <c r="HS1184" s="8"/>
      <c r="HT1184" s="8"/>
      <c r="HU1184" s="8"/>
      <c r="HV1184" s="8"/>
      <c r="HW1184" s="8"/>
      <c r="HX1184" s="8"/>
      <c r="HY1184" s="8"/>
      <c r="HZ1184" s="8"/>
      <c r="IA1184" s="8"/>
      <c r="IB1184" s="8"/>
      <c r="IC1184" s="8"/>
      <c r="ID1184" s="8"/>
      <c r="IE1184" s="8"/>
      <c r="IF1184" s="8"/>
    </row>
    <row r="1185" spans="1:240" ht="30" customHeight="1">
      <c r="A1185" s="5">
        <v>1183</v>
      </c>
      <c r="B1185" s="5"/>
      <c r="C1185" s="5"/>
      <c r="D1185" s="5" t="s">
        <v>68</v>
      </c>
      <c r="E1185" s="5" t="s">
        <v>48</v>
      </c>
      <c r="F1185" s="5" t="s">
        <v>48</v>
      </c>
      <c r="G1185" s="5" t="s">
        <v>48</v>
      </c>
      <c r="H1185" s="15">
        <f>3300*0.454</f>
        <v>1498.2</v>
      </c>
      <c r="I1185" s="5" t="s">
        <v>13</v>
      </c>
      <c r="J1185" s="15">
        <f>237/4.4</f>
        <v>53.86363636363636</v>
      </c>
      <c r="K1185" s="15">
        <f t="shared" si="35"/>
        <v>5.5560000000000009</v>
      </c>
      <c r="L1185" s="24">
        <v>345.76265975503651</v>
      </c>
      <c r="M1185" s="5">
        <f t="shared" si="34"/>
        <v>3.8800000000000026</v>
      </c>
      <c r="N1185" s="5"/>
      <c r="O1185" s="15">
        <f>19900*1.6978</f>
        <v>33786.22</v>
      </c>
      <c r="P1185" s="5"/>
      <c r="Q1185" s="5"/>
      <c r="R1185" s="5">
        <v>3</v>
      </c>
      <c r="S1185" s="5"/>
      <c r="T1185" s="5"/>
      <c r="U1185" s="5"/>
      <c r="V1185" s="15">
        <f>10*0.7457*R1185</f>
        <v>22.371000000000002</v>
      </c>
      <c r="W1185" s="5"/>
      <c r="X1185" s="5"/>
      <c r="Y1185" s="5" t="s">
        <v>48</v>
      </c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16" t="s">
        <v>48</v>
      </c>
      <c r="AN1185" s="5"/>
      <c r="AO1185" s="8"/>
      <c r="AP1185" s="8"/>
      <c r="AQ1185" s="8"/>
      <c r="AR1185" s="8"/>
      <c r="AS1185" s="8"/>
      <c r="AT1185" s="8"/>
      <c r="AU1185" s="8"/>
      <c r="AV1185" s="8"/>
      <c r="AW1185" s="8"/>
      <c r="AX1185" s="8"/>
      <c r="AY1185" s="8"/>
      <c r="AZ1185" s="8"/>
      <c r="BA1185" s="8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8"/>
      <c r="BS1185" s="8"/>
      <c r="BT1185" s="8"/>
      <c r="BU1185" s="8"/>
      <c r="BV1185" s="8"/>
      <c r="BW1185" s="8"/>
      <c r="BX1185" s="8"/>
      <c r="BY1185" s="8"/>
      <c r="BZ1185" s="8"/>
      <c r="CA1185" s="8"/>
      <c r="CB1185" s="8"/>
      <c r="CC1185" s="8"/>
      <c r="CD1185" s="8"/>
      <c r="CE1185" s="8"/>
      <c r="CF1185" s="8"/>
      <c r="CG1185" s="8"/>
      <c r="CH1185" s="8"/>
      <c r="CI1185" s="8"/>
      <c r="CJ1185" s="8"/>
      <c r="CK1185" s="8"/>
      <c r="CL1185" s="8"/>
      <c r="CM1185" s="8"/>
      <c r="CN1185" s="8"/>
      <c r="CO1185" s="8"/>
      <c r="CP1185" s="8"/>
      <c r="CQ1185" s="8"/>
      <c r="CR1185" s="8"/>
      <c r="CS1185" s="8"/>
      <c r="CT1185" s="8"/>
      <c r="CU1185" s="8"/>
      <c r="CV1185" s="8"/>
      <c r="CW1185" s="8"/>
      <c r="CX1185" s="8"/>
      <c r="CY1185" s="8"/>
      <c r="CZ1185" s="8"/>
      <c r="DA1185" s="8"/>
      <c r="DB1185" s="8"/>
      <c r="DC1185" s="8"/>
      <c r="DD1185" s="8"/>
      <c r="DE1185" s="8"/>
      <c r="DF1185" s="8"/>
      <c r="DG1185" s="8"/>
      <c r="DH1185" s="8"/>
      <c r="DI1185" s="8"/>
      <c r="DJ1185" s="8"/>
      <c r="DK1185" s="8"/>
      <c r="DL1185" s="8"/>
      <c r="DM1185" s="8"/>
      <c r="DN1185" s="8"/>
      <c r="DO1185" s="8"/>
      <c r="DP1185" s="8"/>
      <c r="DQ1185" s="8"/>
      <c r="DR1185" s="8"/>
      <c r="DS1185" s="8"/>
      <c r="DT1185" s="8"/>
      <c r="DU1185" s="8"/>
      <c r="DV1185" s="8"/>
      <c r="DW1185" s="8"/>
      <c r="DX1185" s="8"/>
      <c r="DY1185" s="8"/>
      <c r="DZ1185" s="8"/>
      <c r="EA1185" s="8"/>
      <c r="EB1185" s="8"/>
      <c r="EC1185" s="8"/>
      <c r="ED1185" s="8"/>
      <c r="EE1185" s="8"/>
      <c r="EF1185" s="8"/>
      <c r="EG1185" s="8"/>
      <c r="EH1185" s="8"/>
      <c r="EI1185" s="8"/>
      <c r="EJ1185" s="8"/>
      <c r="EK1185" s="8"/>
      <c r="EL1185" s="8"/>
      <c r="EM1185" s="8"/>
      <c r="EN1185" s="8"/>
      <c r="EO1185" s="8"/>
      <c r="EP1185" s="8"/>
      <c r="EQ1185" s="8"/>
      <c r="ER1185" s="8"/>
      <c r="ES1185" s="8"/>
      <c r="ET1185" s="8"/>
      <c r="EU1185" s="8"/>
      <c r="EV1185" s="8"/>
      <c r="EW1185" s="8"/>
      <c r="EX1185" s="8"/>
      <c r="EY1185" s="8"/>
      <c r="EZ1185" s="8"/>
      <c r="FA1185" s="8"/>
      <c r="FB1185" s="8"/>
      <c r="FC1185" s="8"/>
      <c r="FD1185" s="8"/>
      <c r="FE1185" s="8"/>
      <c r="FF1185" s="8"/>
      <c r="FG1185" s="8"/>
      <c r="FH1185" s="8"/>
      <c r="FI1185" s="8"/>
      <c r="FJ1185" s="8"/>
      <c r="FK1185" s="8"/>
      <c r="FL1185" s="8"/>
      <c r="FM1185" s="8"/>
      <c r="FN1185" s="8"/>
      <c r="FO1185" s="8"/>
      <c r="FP1185" s="8"/>
      <c r="FQ1185" s="8"/>
      <c r="FR1185" s="8"/>
      <c r="FS1185" s="8"/>
      <c r="FT1185" s="8"/>
      <c r="FU1185" s="8"/>
      <c r="FV1185" s="8"/>
      <c r="FW1185" s="8"/>
      <c r="FX1185" s="8"/>
      <c r="FY1185" s="8"/>
      <c r="FZ1185" s="8"/>
      <c r="GA1185" s="8"/>
      <c r="GB1185" s="8"/>
      <c r="GC1185" s="8"/>
      <c r="GD1185" s="8"/>
      <c r="GE1185" s="8"/>
      <c r="GF1185" s="8"/>
      <c r="GG1185" s="8"/>
      <c r="GH1185" s="8"/>
      <c r="GI1185" s="8"/>
      <c r="GJ1185" s="8"/>
      <c r="GK1185" s="8"/>
      <c r="GL1185" s="8"/>
      <c r="GM1185" s="8"/>
      <c r="GN1185" s="8"/>
      <c r="GO1185" s="8"/>
      <c r="GP1185" s="8"/>
      <c r="GQ1185" s="8"/>
      <c r="GR1185" s="8"/>
      <c r="GS1185" s="8"/>
      <c r="GT1185" s="8"/>
      <c r="GU1185" s="8"/>
      <c r="GV1185" s="8"/>
      <c r="GW1185" s="8"/>
      <c r="GX1185" s="8"/>
      <c r="GY1185" s="8"/>
      <c r="GZ1185" s="8"/>
      <c r="HA1185" s="8"/>
      <c r="HB1185" s="8"/>
      <c r="HC1185" s="8"/>
      <c r="HD1185" s="8"/>
      <c r="HE1185" s="8"/>
      <c r="HF1185" s="8"/>
      <c r="HG1185" s="8"/>
      <c r="HH1185" s="8"/>
      <c r="HI1185" s="8"/>
      <c r="HJ1185" s="8"/>
      <c r="HK1185" s="8"/>
      <c r="HL1185" s="8"/>
      <c r="HM1185" s="8"/>
      <c r="HN1185" s="8"/>
      <c r="HO1185" s="8"/>
      <c r="HP1185" s="8"/>
      <c r="HQ1185" s="8"/>
      <c r="HR1185" s="8"/>
      <c r="HS1185" s="8"/>
      <c r="HT1185" s="8"/>
      <c r="HU1185" s="8"/>
      <c r="HV1185" s="8"/>
      <c r="HW1185" s="8"/>
      <c r="HX1185" s="8"/>
      <c r="HY1185" s="8"/>
      <c r="HZ1185" s="8"/>
      <c r="IA1185" s="8"/>
      <c r="IB1185" s="8"/>
      <c r="IC1185" s="8"/>
      <c r="ID1185" s="8"/>
      <c r="IE1185" s="8"/>
      <c r="IF1185" s="8"/>
    </row>
    <row r="1186" spans="1:240" ht="30" customHeight="1">
      <c r="A1186" s="5">
        <v>1184</v>
      </c>
      <c r="B1186" s="5"/>
      <c r="C1186" s="5"/>
      <c r="D1186" s="5" t="s">
        <v>68</v>
      </c>
      <c r="E1186" s="5" t="s">
        <v>48</v>
      </c>
      <c r="F1186" s="5" t="s">
        <v>48</v>
      </c>
      <c r="G1186" s="5" t="s">
        <v>48</v>
      </c>
      <c r="H1186" s="15">
        <f>3330*0.454</f>
        <v>1511.82</v>
      </c>
      <c r="I1186" s="5" t="s">
        <v>13</v>
      </c>
      <c r="J1186" s="15">
        <f>264/4.4</f>
        <v>59.999999999999993</v>
      </c>
      <c r="K1186" s="15">
        <f t="shared" si="35"/>
        <v>5.5560000000000009</v>
      </c>
      <c r="L1186" s="24">
        <v>385.1533425119394</v>
      </c>
      <c r="M1186" s="5">
        <f t="shared" si="34"/>
        <v>3.8800000000000026</v>
      </c>
      <c r="N1186" s="5"/>
      <c r="O1186" s="15">
        <f>19400*1.6978</f>
        <v>32937.32</v>
      </c>
      <c r="P1186" s="5"/>
      <c r="Q1186" s="5"/>
      <c r="R1186" s="5">
        <v>3</v>
      </c>
      <c r="S1186" s="5"/>
      <c r="T1186" s="5"/>
      <c r="U1186" s="5"/>
      <c r="V1186" s="15">
        <f>10*0.7457*R1186</f>
        <v>22.371000000000002</v>
      </c>
      <c r="W1186" s="5"/>
      <c r="X1186" s="5"/>
      <c r="Y1186" s="5" t="s">
        <v>48</v>
      </c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16" t="s">
        <v>48</v>
      </c>
      <c r="AN1186" s="5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8"/>
      <c r="BS1186" s="8"/>
      <c r="BT1186" s="8"/>
      <c r="BU1186" s="8"/>
      <c r="BV1186" s="8"/>
      <c r="BW1186" s="8"/>
      <c r="BX1186" s="8"/>
      <c r="BY1186" s="8"/>
      <c r="BZ1186" s="8"/>
      <c r="CA1186" s="8"/>
      <c r="CB1186" s="8"/>
      <c r="CC1186" s="8"/>
      <c r="CD1186" s="8"/>
      <c r="CE1186" s="8"/>
      <c r="CF1186" s="8"/>
      <c r="CG1186" s="8"/>
      <c r="CH1186" s="8"/>
      <c r="CI1186" s="8"/>
      <c r="CJ1186" s="8"/>
      <c r="CK1186" s="8"/>
      <c r="CL1186" s="8"/>
      <c r="CM1186" s="8"/>
      <c r="CN1186" s="8"/>
      <c r="CO1186" s="8"/>
      <c r="CP1186" s="8"/>
      <c r="CQ1186" s="8"/>
      <c r="CR1186" s="8"/>
      <c r="CS1186" s="8"/>
      <c r="CT1186" s="8"/>
      <c r="CU1186" s="8"/>
      <c r="CV1186" s="8"/>
      <c r="CW1186" s="8"/>
      <c r="CX1186" s="8"/>
      <c r="CY1186" s="8"/>
      <c r="CZ1186" s="8"/>
      <c r="DA1186" s="8"/>
      <c r="DB1186" s="8"/>
      <c r="DC1186" s="8"/>
      <c r="DD1186" s="8"/>
      <c r="DE1186" s="8"/>
      <c r="DF1186" s="8"/>
      <c r="DG1186" s="8"/>
      <c r="DH1186" s="8"/>
      <c r="DI1186" s="8"/>
      <c r="DJ1186" s="8"/>
      <c r="DK1186" s="8"/>
      <c r="DL1186" s="8"/>
      <c r="DM1186" s="8"/>
      <c r="DN1186" s="8"/>
      <c r="DO1186" s="8"/>
      <c r="DP1186" s="8"/>
      <c r="DQ1186" s="8"/>
      <c r="DR1186" s="8"/>
      <c r="DS1186" s="8"/>
      <c r="DT1186" s="8"/>
      <c r="DU1186" s="8"/>
      <c r="DV1186" s="8"/>
      <c r="DW1186" s="8"/>
      <c r="DX1186" s="8"/>
      <c r="DY1186" s="8"/>
      <c r="DZ1186" s="8"/>
      <c r="EA1186" s="8"/>
      <c r="EB1186" s="8"/>
      <c r="EC1186" s="8"/>
      <c r="ED1186" s="8"/>
      <c r="EE1186" s="8"/>
      <c r="EF1186" s="8"/>
      <c r="EG1186" s="8"/>
      <c r="EH1186" s="8"/>
      <c r="EI1186" s="8"/>
      <c r="EJ1186" s="8"/>
      <c r="EK1186" s="8"/>
      <c r="EL1186" s="8"/>
      <c r="EM1186" s="8"/>
      <c r="EN1186" s="8"/>
      <c r="EO1186" s="8"/>
      <c r="EP1186" s="8"/>
      <c r="EQ1186" s="8"/>
      <c r="ER1186" s="8"/>
      <c r="ES1186" s="8"/>
      <c r="ET1186" s="8"/>
      <c r="EU1186" s="8"/>
      <c r="EV1186" s="8"/>
      <c r="EW1186" s="8"/>
      <c r="EX1186" s="8"/>
      <c r="EY1186" s="8"/>
      <c r="EZ1186" s="8"/>
      <c r="FA1186" s="8"/>
      <c r="FB1186" s="8"/>
      <c r="FC1186" s="8"/>
      <c r="FD1186" s="8"/>
      <c r="FE1186" s="8"/>
      <c r="FF1186" s="8"/>
      <c r="FG1186" s="8"/>
      <c r="FH1186" s="8"/>
      <c r="FI1186" s="8"/>
      <c r="FJ1186" s="8"/>
      <c r="FK1186" s="8"/>
      <c r="FL1186" s="8"/>
      <c r="FM1186" s="8"/>
      <c r="FN1186" s="8"/>
      <c r="FO1186" s="8"/>
      <c r="FP1186" s="8"/>
      <c r="FQ1186" s="8"/>
      <c r="FR1186" s="8"/>
      <c r="FS1186" s="8"/>
      <c r="FT1186" s="8"/>
      <c r="FU1186" s="8"/>
      <c r="FV1186" s="8"/>
      <c r="FW1186" s="8"/>
      <c r="FX1186" s="8"/>
      <c r="FY1186" s="8"/>
      <c r="FZ1186" s="8"/>
      <c r="GA1186" s="8"/>
      <c r="GB1186" s="8"/>
      <c r="GC1186" s="8"/>
      <c r="GD1186" s="8"/>
      <c r="GE1186" s="8"/>
      <c r="GF1186" s="8"/>
      <c r="GG1186" s="8"/>
      <c r="GH1186" s="8"/>
      <c r="GI1186" s="8"/>
      <c r="GJ1186" s="8"/>
      <c r="GK1186" s="8"/>
      <c r="GL1186" s="8"/>
      <c r="GM1186" s="8"/>
      <c r="GN1186" s="8"/>
      <c r="GO1186" s="8"/>
      <c r="GP1186" s="8"/>
      <c r="GQ1186" s="8"/>
      <c r="GR1186" s="8"/>
      <c r="GS1186" s="8"/>
      <c r="GT1186" s="8"/>
      <c r="GU1186" s="8"/>
      <c r="GV1186" s="8"/>
      <c r="GW1186" s="8"/>
      <c r="GX1186" s="8"/>
      <c r="GY1186" s="8"/>
      <c r="GZ1186" s="8"/>
      <c r="HA1186" s="8"/>
      <c r="HB1186" s="8"/>
      <c r="HC1186" s="8"/>
      <c r="HD1186" s="8"/>
      <c r="HE1186" s="8"/>
      <c r="HF1186" s="8"/>
      <c r="HG1186" s="8"/>
      <c r="HH1186" s="8"/>
      <c r="HI1186" s="8"/>
      <c r="HJ1186" s="8"/>
      <c r="HK1186" s="8"/>
      <c r="HL1186" s="8"/>
      <c r="HM1186" s="8"/>
      <c r="HN1186" s="8"/>
      <c r="HO1186" s="8"/>
      <c r="HP1186" s="8"/>
      <c r="HQ1186" s="8"/>
      <c r="HR1186" s="8"/>
      <c r="HS1186" s="8"/>
      <c r="HT1186" s="8"/>
      <c r="HU1186" s="8"/>
      <c r="HV1186" s="8"/>
      <c r="HW1186" s="8"/>
      <c r="HX1186" s="8"/>
      <c r="HY1186" s="8"/>
      <c r="HZ1186" s="8"/>
      <c r="IA1186" s="8"/>
      <c r="IB1186" s="8"/>
      <c r="IC1186" s="8"/>
      <c r="ID1186" s="8"/>
      <c r="IE1186" s="8"/>
      <c r="IF1186" s="8"/>
    </row>
    <row r="1187" spans="1:240" ht="30" customHeight="1">
      <c r="A1187" s="5">
        <v>1185</v>
      </c>
      <c r="B1187" s="5"/>
      <c r="C1187" s="5"/>
      <c r="D1187" s="5" t="s">
        <v>68</v>
      </c>
      <c r="E1187" s="5" t="s">
        <v>48</v>
      </c>
      <c r="F1187" s="5" t="s">
        <v>48</v>
      </c>
      <c r="G1187" s="5" t="s">
        <v>48</v>
      </c>
      <c r="H1187" s="15">
        <f>4240*0.454</f>
        <v>1924.96</v>
      </c>
      <c r="I1187" s="5" t="s">
        <v>13</v>
      </c>
      <c r="J1187" s="15">
        <f>287/4.4</f>
        <v>65.22727272727272</v>
      </c>
      <c r="K1187" s="15">
        <f t="shared" si="35"/>
        <v>5.5560000000000009</v>
      </c>
      <c r="L1187" s="24">
        <v>418.70836856411591</v>
      </c>
      <c r="M1187" s="5">
        <f t="shared" si="34"/>
        <v>3.8800000000000026</v>
      </c>
      <c r="N1187" s="5"/>
      <c r="O1187" s="15">
        <f>24400*1.6978</f>
        <v>41426.32</v>
      </c>
      <c r="P1187" s="5"/>
      <c r="Q1187" s="5"/>
      <c r="R1187" s="5">
        <v>4</v>
      </c>
      <c r="S1187" s="5"/>
      <c r="T1187" s="5"/>
      <c r="U1187" s="5"/>
      <c r="V1187" s="15">
        <f>10*0.7457</f>
        <v>7.4570000000000007</v>
      </c>
      <c r="W1187" s="5"/>
      <c r="X1187" s="5"/>
      <c r="Y1187" s="5" t="s">
        <v>48</v>
      </c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16" t="s">
        <v>48</v>
      </c>
      <c r="AN1187" s="5"/>
      <c r="AO1187" s="8"/>
      <c r="AP1187" s="8"/>
      <c r="AQ1187" s="8"/>
      <c r="AR1187" s="8"/>
      <c r="AS1187" s="8"/>
      <c r="AT1187" s="8"/>
      <c r="AU1187" s="8"/>
      <c r="AV1187" s="8"/>
      <c r="AW1187" s="8"/>
      <c r="AX1187" s="8"/>
      <c r="AY1187" s="8"/>
      <c r="AZ1187" s="8"/>
      <c r="BA1187" s="8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8"/>
      <c r="BS1187" s="8"/>
      <c r="BT1187" s="8"/>
      <c r="BU1187" s="8"/>
      <c r="BV1187" s="8"/>
      <c r="BW1187" s="8"/>
      <c r="BX1187" s="8"/>
      <c r="BY1187" s="8"/>
      <c r="BZ1187" s="8"/>
      <c r="CA1187" s="8"/>
      <c r="CB1187" s="8"/>
      <c r="CC1187" s="8"/>
      <c r="CD1187" s="8"/>
      <c r="CE1187" s="8"/>
      <c r="CF1187" s="8"/>
      <c r="CG1187" s="8"/>
      <c r="CH1187" s="8"/>
      <c r="CI1187" s="8"/>
      <c r="CJ1187" s="8"/>
      <c r="CK1187" s="8"/>
      <c r="CL1187" s="8"/>
      <c r="CM1187" s="8"/>
      <c r="CN1187" s="8"/>
      <c r="CO1187" s="8"/>
      <c r="CP1187" s="8"/>
      <c r="CQ1187" s="8"/>
      <c r="CR1187" s="8"/>
      <c r="CS1187" s="8"/>
      <c r="CT1187" s="8"/>
      <c r="CU1187" s="8"/>
      <c r="CV1187" s="8"/>
      <c r="CW1187" s="8"/>
      <c r="CX1187" s="8"/>
      <c r="CY1187" s="8"/>
      <c r="CZ1187" s="8"/>
      <c r="DA1187" s="8"/>
      <c r="DB1187" s="8"/>
      <c r="DC1187" s="8"/>
      <c r="DD1187" s="8"/>
      <c r="DE1187" s="8"/>
      <c r="DF1187" s="8"/>
      <c r="DG1187" s="8"/>
      <c r="DH1187" s="8"/>
      <c r="DI1187" s="8"/>
      <c r="DJ1187" s="8"/>
      <c r="DK1187" s="8"/>
      <c r="DL1187" s="8"/>
      <c r="DM1187" s="8"/>
      <c r="DN1187" s="8"/>
      <c r="DO1187" s="8"/>
      <c r="DP1187" s="8"/>
      <c r="DQ1187" s="8"/>
      <c r="DR1187" s="8"/>
      <c r="DS1187" s="8"/>
      <c r="DT1187" s="8"/>
      <c r="DU1187" s="8"/>
      <c r="DV1187" s="8"/>
      <c r="DW1187" s="8"/>
      <c r="DX1187" s="8"/>
      <c r="DY1187" s="8"/>
      <c r="DZ1187" s="8"/>
      <c r="EA1187" s="8"/>
      <c r="EB1187" s="8"/>
      <c r="EC1187" s="8"/>
      <c r="ED1187" s="8"/>
      <c r="EE1187" s="8"/>
      <c r="EF1187" s="8"/>
      <c r="EG1187" s="8"/>
      <c r="EH1187" s="8"/>
      <c r="EI1187" s="8"/>
      <c r="EJ1187" s="8"/>
      <c r="EK1187" s="8"/>
      <c r="EL1187" s="8"/>
      <c r="EM1187" s="8"/>
      <c r="EN1187" s="8"/>
      <c r="EO1187" s="8"/>
      <c r="EP1187" s="8"/>
      <c r="EQ1187" s="8"/>
      <c r="ER1187" s="8"/>
      <c r="ES1187" s="8"/>
      <c r="ET1187" s="8"/>
      <c r="EU1187" s="8"/>
      <c r="EV1187" s="8"/>
      <c r="EW1187" s="8"/>
      <c r="EX1187" s="8"/>
      <c r="EY1187" s="8"/>
      <c r="EZ1187" s="8"/>
      <c r="FA1187" s="8"/>
      <c r="FB1187" s="8"/>
      <c r="FC1187" s="8"/>
      <c r="FD1187" s="8"/>
      <c r="FE1187" s="8"/>
      <c r="FF1187" s="8"/>
      <c r="FG1187" s="8"/>
      <c r="FH1187" s="8"/>
      <c r="FI1187" s="8"/>
      <c r="FJ1187" s="8"/>
      <c r="FK1187" s="8"/>
      <c r="FL1187" s="8"/>
      <c r="FM1187" s="8"/>
      <c r="FN1187" s="8"/>
      <c r="FO1187" s="8"/>
      <c r="FP1187" s="8"/>
      <c r="FQ1187" s="8"/>
      <c r="FR1187" s="8"/>
      <c r="FS1187" s="8"/>
      <c r="FT1187" s="8"/>
      <c r="FU1187" s="8"/>
      <c r="FV1187" s="8"/>
      <c r="FW1187" s="8"/>
      <c r="FX1187" s="8"/>
      <c r="FY1187" s="8"/>
      <c r="FZ1187" s="8"/>
      <c r="GA1187" s="8"/>
      <c r="GB1187" s="8"/>
      <c r="GC1187" s="8"/>
      <c r="GD1187" s="8"/>
      <c r="GE1187" s="8"/>
      <c r="GF1187" s="8"/>
      <c r="GG1187" s="8"/>
      <c r="GH1187" s="8"/>
      <c r="GI1187" s="8"/>
      <c r="GJ1187" s="8"/>
      <c r="GK1187" s="8"/>
      <c r="GL1187" s="8"/>
      <c r="GM1187" s="8"/>
      <c r="GN1187" s="8"/>
      <c r="GO1187" s="8"/>
      <c r="GP1187" s="8"/>
      <c r="GQ1187" s="8"/>
      <c r="GR1187" s="8"/>
      <c r="GS1187" s="8"/>
      <c r="GT1187" s="8"/>
      <c r="GU1187" s="8"/>
      <c r="GV1187" s="8"/>
      <c r="GW1187" s="8"/>
      <c r="GX1187" s="8"/>
      <c r="GY1187" s="8"/>
      <c r="GZ1187" s="8"/>
      <c r="HA1187" s="8"/>
      <c r="HB1187" s="8"/>
      <c r="HC1187" s="8"/>
      <c r="HD1187" s="8"/>
      <c r="HE1187" s="8"/>
      <c r="HF1187" s="8"/>
      <c r="HG1187" s="8"/>
      <c r="HH1187" s="8"/>
      <c r="HI1187" s="8"/>
      <c r="HJ1187" s="8"/>
      <c r="HK1187" s="8"/>
      <c r="HL1187" s="8"/>
      <c r="HM1187" s="8"/>
      <c r="HN1187" s="8"/>
      <c r="HO1187" s="8"/>
      <c r="HP1187" s="8"/>
      <c r="HQ1187" s="8"/>
      <c r="HR1187" s="8"/>
      <c r="HS1187" s="8"/>
      <c r="HT1187" s="8"/>
      <c r="HU1187" s="8"/>
      <c r="HV1187" s="8"/>
      <c r="HW1187" s="8"/>
      <c r="HX1187" s="8"/>
      <c r="HY1187" s="8"/>
      <c r="HZ1187" s="8"/>
      <c r="IA1187" s="8"/>
      <c r="IB1187" s="8"/>
      <c r="IC1187" s="8"/>
      <c r="ID1187" s="8"/>
      <c r="IE1187" s="8"/>
      <c r="IF1187" s="8"/>
    </row>
    <row r="1188" spans="1:240" ht="30" customHeight="1">
      <c r="A1188" s="5">
        <v>1186</v>
      </c>
      <c r="B1188" s="5"/>
      <c r="C1188" s="5"/>
      <c r="D1188" s="5" t="s">
        <v>68</v>
      </c>
      <c r="E1188" s="5" t="s">
        <v>48</v>
      </c>
      <c r="F1188" s="5" t="s">
        <v>48</v>
      </c>
      <c r="G1188" s="5" t="s">
        <v>48</v>
      </c>
      <c r="H1188" s="15">
        <f>4420*0.454</f>
        <v>2006.68</v>
      </c>
      <c r="I1188" s="5" t="s">
        <v>13</v>
      </c>
      <c r="J1188" s="15">
        <f>322/4.4</f>
        <v>73.181818181818173</v>
      </c>
      <c r="K1188" s="15">
        <f t="shared" si="35"/>
        <v>5.5560000000000009</v>
      </c>
      <c r="L1188" s="24">
        <v>469.77036473047156</v>
      </c>
      <c r="M1188" s="5">
        <f t="shared" si="34"/>
        <v>3.8800000000000026</v>
      </c>
      <c r="N1188" s="5"/>
      <c r="O1188" s="15">
        <f>23800*1.6978</f>
        <v>40407.64</v>
      </c>
      <c r="P1188" s="5"/>
      <c r="Q1188" s="5"/>
      <c r="R1188" s="5">
        <v>4</v>
      </c>
      <c r="S1188" s="5"/>
      <c r="T1188" s="5"/>
      <c r="U1188" s="5"/>
      <c r="V1188" s="15">
        <f>10*0.7457</f>
        <v>7.4570000000000007</v>
      </c>
      <c r="W1188" s="5"/>
      <c r="X1188" s="5"/>
      <c r="Y1188" s="5" t="s">
        <v>48</v>
      </c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16" t="s">
        <v>48</v>
      </c>
      <c r="AN1188" s="5"/>
      <c r="AO1188" s="8"/>
      <c r="AP1188" s="8"/>
      <c r="AQ1188" s="8"/>
      <c r="AR1188" s="8"/>
      <c r="AS1188" s="8"/>
      <c r="AT1188" s="8"/>
      <c r="AU1188" s="8"/>
      <c r="AV1188" s="8"/>
      <c r="AW1188" s="8"/>
      <c r="AX1188" s="8"/>
      <c r="AY1188" s="8"/>
      <c r="AZ1188" s="8"/>
      <c r="BA1188" s="8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8"/>
      <c r="BS1188" s="8"/>
      <c r="BT1188" s="8"/>
      <c r="BU1188" s="8"/>
      <c r="BV1188" s="8"/>
      <c r="BW1188" s="8"/>
      <c r="BX1188" s="8"/>
      <c r="BY1188" s="8"/>
      <c r="BZ1188" s="8"/>
      <c r="CA1188" s="8"/>
      <c r="CB1188" s="8"/>
      <c r="CC1188" s="8"/>
      <c r="CD1188" s="8"/>
      <c r="CE1188" s="8"/>
      <c r="CF1188" s="8"/>
      <c r="CG1188" s="8"/>
      <c r="CH1188" s="8"/>
      <c r="CI1188" s="8"/>
      <c r="CJ1188" s="8"/>
      <c r="CK1188" s="8"/>
      <c r="CL1188" s="8"/>
      <c r="CM1188" s="8"/>
      <c r="CN1188" s="8"/>
      <c r="CO1188" s="8"/>
      <c r="CP1188" s="8"/>
      <c r="CQ1188" s="8"/>
      <c r="CR1188" s="8"/>
      <c r="CS1188" s="8"/>
      <c r="CT1188" s="8"/>
      <c r="CU1188" s="8"/>
      <c r="CV1188" s="8"/>
      <c r="CW1188" s="8"/>
      <c r="CX1188" s="8"/>
      <c r="CY1188" s="8"/>
      <c r="CZ1188" s="8"/>
      <c r="DA1188" s="8"/>
      <c r="DB1188" s="8"/>
      <c r="DC1188" s="8"/>
      <c r="DD1188" s="8"/>
      <c r="DE1188" s="8"/>
      <c r="DF1188" s="8"/>
      <c r="DG1188" s="8"/>
      <c r="DH1188" s="8"/>
      <c r="DI1188" s="8"/>
      <c r="DJ1188" s="8"/>
      <c r="DK1188" s="8"/>
      <c r="DL1188" s="8"/>
      <c r="DM1188" s="8"/>
      <c r="DN1188" s="8"/>
      <c r="DO1188" s="8"/>
      <c r="DP1188" s="8"/>
      <c r="DQ1188" s="8"/>
      <c r="DR1188" s="8"/>
      <c r="DS1188" s="8"/>
      <c r="DT1188" s="8"/>
      <c r="DU1188" s="8"/>
      <c r="DV1188" s="8"/>
      <c r="DW1188" s="8"/>
      <c r="DX1188" s="8"/>
      <c r="DY1188" s="8"/>
      <c r="DZ1188" s="8"/>
      <c r="EA1188" s="8"/>
      <c r="EB1188" s="8"/>
      <c r="EC1188" s="8"/>
      <c r="ED1188" s="8"/>
      <c r="EE1188" s="8"/>
      <c r="EF1188" s="8"/>
      <c r="EG1188" s="8"/>
      <c r="EH1188" s="8"/>
      <c r="EI1188" s="8"/>
      <c r="EJ1188" s="8"/>
      <c r="EK1188" s="8"/>
      <c r="EL1188" s="8"/>
      <c r="EM1188" s="8"/>
      <c r="EN1188" s="8"/>
      <c r="EO1188" s="8"/>
      <c r="EP1188" s="8"/>
      <c r="EQ1188" s="8"/>
      <c r="ER1188" s="8"/>
      <c r="ES1188" s="8"/>
      <c r="ET1188" s="8"/>
      <c r="EU1188" s="8"/>
      <c r="EV1188" s="8"/>
      <c r="EW1188" s="8"/>
      <c r="EX1188" s="8"/>
      <c r="EY1188" s="8"/>
      <c r="EZ1188" s="8"/>
      <c r="FA1188" s="8"/>
      <c r="FB1188" s="8"/>
      <c r="FC1188" s="8"/>
      <c r="FD1188" s="8"/>
      <c r="FE1188" s="8"/>
      <c r="FF1188" s="8"/>
      <c r="FG1188" s="8"/>
      <c r="FH1188" s="8"/>
      <c r="FI1188" s="8"/>
      <c r="FJ1188" s="8"/>
      <c r="FK1188" s="8"/>
      <c r="FL1188" s="8"/>
      <c r="FM1188" s="8"/>
      <c r="FN1188" s="8"/>
      <c r="FO1188" s="8"/>
      <c r="FP1188" s="8"/>
      <c r="FQ1188" s="8"/>
      <c r="FR1188" s="8"/>
      <c r="FS1188" s="8"/>
      <c r="FT1188" s="8"/>
      <c r="FU1188" s="8"/>
      <c r="FV1188" s="8"/>
      <c r="FW1188" s="8"/>
      <c r="FX1188" s="8"/>
      <c r="FY1188" s="8"/>
      <c r="FZ1188" s="8"/>
      <c r="GA1188" s="8"/>
      <c r="GB1188" s="8"/>
      <c r="GC1188" s="8"/>
      <c r="GD1188" s="8"/>
      <c r="GE1188" s="8"/>
      <c r="GF1188" s="8"/>
      <c r="GG1188" s="8"/>
      <c r="GH1188" s="8"/>
      <c r="GI1188" s="8"/>
      <c r="GJ1188" s="8"/>
      <c r="GK1188" s="8"/>
      <c r="GL1188" s="8"/>
      <c r="GM1188" s="8"/>
      <c r="GN1188" s="8"/>
      <c r="GO1188" s="8"/>
      <c r="GP1188" s="8"/>
      <c r="GQ1188" s="8"/>
      <c r="GR1188" s="8"/>
      <c r="GS1188" s="8"/>
      <c r="GT1188" s="8"/>
      <c r="GU1188" s="8"/>
      <c r="GV1188" s="8"/>
      <c r="GW1188" s="8"/>
      <c r="GX1188" s="8"/>
      <c r="GY1188" s="8"/>
      <c r="GZ1188" s="8"/>
      <c r="HA1188" s="8"/>
      <c r="HB1188" s="8"/>
      <c r="HC1188" s="8"/>
      <c r="HD1188" s="8"/>
      <c r="HE1188" s="8"/>
      <c r="HF1188" s="8"/>
      <c r="HG1188" s="8"/>
      <c r="HH1188" s="8"/>
      <c r="HI1188" s="8"/>
      <c r="HJ1188" s="8"/>
      <c r="HK1188" s="8"/>
      <c r="HL1188" s="8"/>
      <c r="HM1188" s="8"/>
      <c r="HN1188" s="8"/>
      <c r="HO1188" s="8"/>
      <c r="HP1188" s="8"/>
      <c r="HQ1188" s="8"/>
      <c r="HR1188" s="8"/>
      <c r="HS1188" s="8"/>
      <c r="HT1188" s="8"/>
      <c r="HU1188" s="8"/>
      <c r="HV1188" s="8"/>
      <c r="HW1188" s="8"/>
      <c r="HX1188" s="8"/>
      <c r="HY1188" s="8"/>
      <c r="HZ1188" s="8"/>
      <c r="IA1188" s="8"/>
      <c r="IB1188" s="8"/>
      <c r="IC1188" s="8"/>
      <c r="ID1188" s="8"/>
      <c r="IE1188" s="8"/>
      <c r="IF1188" s="8"/>
    </row>
    <row r="1189" spans="1:240" ht="30" customHeight="1">
      <c r="A1189" s="5">
        <v>1187</v>
      </c>
      <c r="B1189" s="5"/>
      <c r="C1189" s="5"/>
      <c r="D1189" s="5" t="s">
        <v>68</v>
      </c>
      <c r="E1189" s="5" t="s">
        <v>48</v>
      </c>
      <c r="F1189" s="5" t="s">
        <v>48</v>
      </c>
      <c r="G1189" s="5" t="s">
        <v>48</v>
      </c>
      <c r="H1189" s="15">
        <f>4610*0.454</f>
        <v>2092.94</v>
      </c>
      <c r="I1189" s="5" t="s">
        <v>13</v>
      </c>
      <c r="J1189" s="15">
        <f>343/4.4</f>
        <v>77.954545454545453</v>
      </c>
      <c r="K1189" s="15">
        <f t="shared" si="35"/>
        <v>5.5560000000000009</v>
      </c>
      <c r="L1189" s="24">
        <v>500.40756243028488</v>
      </c>
      <c r="M1189" s="5">
        <f t="shared" si="34"/>
        <v>3.8800000000000026</v>
      </c>
      <c r="N1189" s="5"/>
      <c r="O1189" s="15">
        <f>23000*1.6978</f>
        <v>39049.4</v>
      </c>
      <c r="P1189" s="5"/>
      <c r="Q1189" s="5"/>
      <c r="R1189" s="5">
        <v>4</v>
      </c>
      <c r="S1189" s="5"/>
      <c r="T1189" s="5"/>
      <c r="U1189" s="5"/>
      <c r="V1189" s="15">
        <f>10*0.7457</f>
        <v>7.4570000000000007</v>
      </c>
      <c r="W1189" s="5"/>
      <c r="X1189" s="5"/>
      <c r="Y1189" s="5" t="s">
        <v>48</v>
      </c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16" t="s">
        <v>48</v>
      </c>
      <c r="AN1189" s="5"/>
      <c r="AO1189" s="8"/>
      <c r="AP1189" s="8"/>
      <c r="AQ1189" s="8"/>
      <c r="AR1189" s="8"/>
      <c r="AS1189" s="8"/>
      <c r="AT1189" s="8"/>
      <c r="AU1189" s="8"/>
      <c r="AV1189" s="8"/>
      <c r="AW1189" s="8"/>
      <c r="AX1189" s="8"/>
      <c r="AY1189" s="8"/>
      <c r="AZ1189" s="8"/>
      <c r="BA1189" s="8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8"/>
      <c r="BS1189" s="8"/>
      <c r="BT1189" s="8"/>
      <c r="BU1189" s="8"/>
      <c r="BV1189" s="8"/>
      <c r="BW1189" s="8"/>
      <c r="BX1189" s="8"/>
      <c r="BY1189" s="8"/>
      <c r="BZ1189" s="8"/>
      <c r="CA1189" s="8"/>
      <c r="CB1189" s="8"/>
      <c r="CC1189" s="8"/>
      <c r="CD1189" s="8"/>
      <c r="CE1189" s="8"/>
      <c r="CF1189" s="8"/>
      <c r="CG1189" s="8"/>
      <c r="CH1189" s="8"/>
      <c r="CI1189" s="8"/>
      <c r="CJ1189" s="8"/>
      <c r="CK1189" s="8"/>
      <c r="CL1189" s="8"/>
      <c r="CM1189" s="8"/>
      <c r="CN1189" s="8"/>
      <c r="CO1189" s="8"/>
      <c r="CP1189" s="8"/>
      <c r="CQ1189" s="8"/>
      <c r="CR1189" s="8"/>
      <c r="CS1189" s="8"/>
      <c r="CT1189" s="8"/>
      <c r="CU1189" s="8"/>
      <c r="CV1189" s="8"/>
      <c r="CW1189" s="8"/>
      <c r="CX1189" s="8"/>
      <c r="CY1189" s="8"/>
      <c r="CZ1189" s="8"/>
      <c r="DA1189" s="8"/>
      <c r="DB1189" s="8"/>
      <c r="DC1189" s="8"/>
      <c r="DD1189" s="8"/>
      <c r="DE1189" s="8"/>
      <c r="DF1189" s="8"/>
      <c r="DG1189" s="8"/>
      <c r="DH1189" s="8"/>
      <c r="DI1189" s="8"/>
      <c r="DJ1189" s="8"/>
      <c r="DK1189" s="8"/>
      <c r="DL1189" s="8"/>
      <c r="DM1189" s="8"/>
      <c r="DN1189" s="8"/>
      <c r="DO1189" s="8"/>
      <c r="DP1189" s="8"/>
      <c r="DQ1189" s="8"/>
      <c r="DR1189" s="8"/>
      <c r="DS1189" s="8"/>
      <c r="DT1189" s="8"/>
      <c r="DU1189" s="8"/>
      <c r="DV1189" s="8"/>
      <c r="DW1189" s="8"/>
      <c r="DX1189" s="8"/>
      <c r="DY1189" s="8"/>
      <c r="DZ1189" s="8"/>
      <c r="EA1189" s="8"/>
      <c r="EB1189" s="8"/>
      <c r="EC1189" s="8"/>
      <c r="ED1189" s="8"/>
      <c r="EE1189" s="8"/>
      <c r="EF1189" s="8"/>
      <c r="EG1189" s="8"/>
      <c r="EH1189" s="8"/>
      <c r="EI1189" s="8"/>
      <c r="EJ1189" s="8"/>
      <c r="EK1189" s="8"/>
      <c r="EL1189" s="8"/>
      <c r="EM1189" s="8"/>
      <c r="EN1189" s="8"/>
      <c r="EO1189" s="8"/>
      <c r="EP1189" s="8"/>
      <c r="EQ1189" s="8"/>
      <c r="ER1189" s="8"/>
      <c r="ES1189" s="8"/>
      <c r="ET1189" s="8"/>
      <c r="EU1189" s="8"/>
      <c r="EV1189" s="8"/>
      <c r="EW1189" s="8"/>
      <c r="EX1189" s="8"/>
      <c r="EY1189" s="8"/>
      <c r="EZ1189" s="8"/>
      <c r="FA1189" s="8"/>
      <c r="FB1189" s="8"/>
      <c r="FC1189" s="8"/>
      <c r="FD1189" s="8"/>
      <c r="FE1189" s="8"/>
      <c r="FF1189" s="8"/>
      <c r="FG1189" s="8"/>
      <c r="FH1189" s="8"/>
      <c r="FI1189" s="8"/>
      <c r="FJ1189" s="8"/>
      <c r="FK1189" s="8"/>
      <c r="FL1189" s="8"/>
      <c r="FM1189" s="8"/>
      <c r="FN1189" s="8"/>
      <c r="FO1189" s="8"/>
      <c r="FP1189" s="8"/>
      <c r="FQ1189" s="8"/>
      <c r="FR1189" s="8"/>
      <c r="FS1189" s="8"/>
      <c r="FT1189" s="8"/>
      <c r="FU1189" s="8"/>
      <c r="FV1189" s="8"/>
      <c r="FW1189" s="8"/>
      <c r="FX1189" s="8"/>
      <c r="FY1189" s="8"/>
      <c r="FZ1189" s="8"/>
      <c r="GA1189" s="8"/>
      <c r="GB1189" s="8"/>
      <c r="GC1189" s="8"/>
      <c r="GD1189" s="8"/>
      <c r="GE1189" s="8"/>
      <c r="GF1189" s="8"/>
      <c r="GG1189" s="8"/>
      <c r="GH1189" s="8"/>
      <c r="GI1189" s="8"/>
      <c r="GJ1189" s="8"/>
      <c r="GK1189" s="8"/>
      <c r="GL1189" s="8"/>
      <c r="GM1189" s="8"/>
      <c r="GN1189" s="8"/>
      <c r="GO1189" s="8"/>
      <c r="GP1189" s="8"/>
      <c r="GQ1189" s="8"/>
      <c r="GR1189" s="8"/>
      <c r="GS1189" s="8"/>
      <c r="GT1189" s="8"/>
      <c r="GU1189" s="8"/>
      <c r="GV1189" s="8"/>
      <c r="GW1189" s="8"/>
      <c r="GX1189" s="8"/>
      <c r="GY1189" s="8"/>
      <c r="GZ1189" s="8"/>
      <c r="HA1189" s="8"/>
      <c r="HB1189" s="8"/>
      <c r="HC1189" s="8"/>
      <c r="HD1189" s="8"/>
      <c r="HE1189" s="8"/>
      <c r="HF1189" s="8"/>
      <c r="HG1189" s="8"/>
      <c r="HH1189" s="8"/>
      <c r="HI1189" s="8"/>
      <c r="HJ1189" s="8"/>
      <c r="HK1189" s="8"/>
      <c r="HL1189" s="8"/>
      <c r="HM1189" s="8"/>
      <c r="HN1189" s="8"/>
      <c r="HO1189" s="8"/>
      <c r="HP1189" s="8"/>
      <c r="HQ1189" s="8"/>
      <c r="HR1189" s="8"/>
      <c r="HS1189" s="8"/>
      <c r="HT1189" s="8"/>
      <c r="HU1189" s="8"/>
      <c r="HV1189" s="8"/>
      <c r="HW1189" s="8"/>
      <c r="HX1189" s="8"/>
      <c r="HY1189" s="8"/>
      <c r="HZ1189" s="8"/>
      <c r="IA1189" s="8"/>
      <c r="IB1189" s="8"/>
      <c r="IC1189" s="8"/>
      <c r="ID1189" s="8"/>
      <c r="IE1189" s="8"/>
      <c r="IF1189" s="8"/>
    </row>
    <row r="1190" spans="1:240" ht="30" customHeight="1">
      <c r="A1190" s="5">
        <v>1188</v>
      </c>
      <c r="B1190" s="5"/>
      <c r="C1190" s="5"/>
      <c r="D1190" s="5" t="s">
        <v>68</v>
      </c>
      <c r="E1190" s="5" t="s">
        <v>48</v>
      </c>
      <c r="F1190" s="5" t="s">
        <v>48</v>
      </c>
      <c r="G1190" s="5" t="s">
        <v>48</v>
      </c>
      <c r="H1190" s="15">
        <f>4550*0.454</f>
        <v>2065.7000000000003</v>
      </c>
      <c r="I1190" s="5" t="s">
        <v>13</v>
      </c>
      <c r="J1190" s="15">
        <f>370/4.4</f>
        <v>84.090909090909079</v>
      </c>
      <c r="K1190" s="15">
        <f t="shared" si="35"/>
        <v>5.5560000000000009</v>
      </c>
      <c r="L1190" s="24">
        <v>539.79824518718772</v>
      </c>
      <c r="M1190" s="5">
        <f t="shared" si="34"/>
        <v>3.8800000000000026</v>
      </c>
      <c r="N1190" s="5"/>
      <c r="O1190" s="15">
        <f>26900*1.6978</f>
        <v>45670.82</v>
      </c>
      <c r="P1190" s="5"/>
      <c r="Q1190" s="5"/>
      <c r="R1190" s="5">
        <v>4</v>
      </c>
      <c r="S1190" s="5"/>
      <c r="T1190" s="5"/>
      <c r="U1190" s="5"/>
      <c r="V1190" s="15">
        <f>15*0.7457</f>
        <v>11.185500000000001</v>
      </c>
      <c r="W1190" s="5"/>
      <c r="X1190" s="5"/>
      <c r="Y1190" s="5" t="s">
        <v>48</v>
      </c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16" t="s">
        <v>48</v>
      </c>
      <c r="AN1190" s="5"/>
      <c r="AO1190" s="8"/>
      <c r="AP1190" s="8"/>
      <c r="AQ1190" s="8"/>
      <c r="AR1190" s="8"/>
      <c r="AS1190" s="8"/>
      <c r="AT1190" s="8"/>
      <c r="AU1190" s="8"/>
      <c r="AV1190" s="8"/>
      <c r="AW1190" s="8"/>
      <c r="AX1190" s="8"/>
      <c r="AY1190" s="8"/>
      <c r="AZ1190" s="8"/>
      <c r="BA1190" s="8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8"/>
      <c r="BS1190" s="8"/>
      <c r="BT1190" s="8"/>
      <c r="BU1190" s="8"/>
      <c r="BV1190" s="8"/>
      <c r="BW1190" s="8"/>
      <c r="BX1190" s="8"/>
      <c r="BY1190" s="8"/>
      <c r="BZ1190" s="8"/>
      <c r="CA1190" s="8"/>
      <c r="CB1190" s="8"/>
      <c r="CC1190" s="8"/>
      <c r="CD1190" s="8"/>
      <c r="CE1190" s="8"/>
      <c r="CF1190" s="8"/>
      <c r="CG1190" s="8"/>
      <c r="CH1190" s="8"/>
      <c r="CI1190" s="8"/>
      <c r="CJ1190" s="8"/>
      <c r="CK1190" s="8"/>
      <c r="CL1190" s="8"/>
      <c r="CM1190" s="8"/>
      <c r="CN1190" s="8"/>
      <c r="CO1190" s="8"/>
      <c r="CP1190" s="8"/>
      <c r="CQ1190" s="8"/>
      <c r="CR1190" s="8"/>
      <c r="CS1190" s="8"/>
      <c r="CT1190" s="8"/>
      <c r="CU1190" s="8"/>
      <c r="CV1190" s="8"/>
      <c r="CW1190" s="8"/>
      <c r="CX1190" s="8"/>
      <c r="CY1190" s="8"/>
      <c r="CZ1190" s="8"/>
      <c r="DA1190" s="8"/>
      <c r="DB1190" s="8"/>
      <c r="DC1190" s="8"/>
      <c r="DD1190" s="8"/>
      <c r="DE1190" s="8"/>
      <c r="DF1190" s="8"/>
      <c r="DG1190" s="8"/>
      <c r="DH1190" s="8"/>
      <c r="DI1190" s="8"/>
      <c r="DJ1190" s="8"/>
      <c r="DK1190" s="8"/>
      <c r="DL1190" s="8"/>
      <c r="DM1190" s="8"/>
      <c r="DN1190" s="8"/>
      <c r="DO1190" s="8"/>
      <c r="DP1190" s="8"/>
      <c r="DQ1190" s="8"/>
      <c r="DR1190" s="8"/>
      <c r="DS1190" s="8"/>
      <c r="DT1190" s="8"/>
      <c r="DU1190" s="8"/>
      <c r="DV1190" s="8"/>
      <c r="DW1190" s="8"/>
      <c r="DX1190" s="8"/>
      <c r="DY1190" s="8"/>
      <c r="DZ1190" s="8"/>
      <c r="EA1190" s="8"/>
      <c r="EB1190" s="8"/>
      <c r="EC1190" s="8"/>
      <c r="ED1190" s="8"/>
      <c r="EE1190" s="8"/>
      <c r="EF1190" s="8"/>
      <c r="EG1190" s="8"/>
      <c r="EH1190" s="8"/>
      <c r="EI1190" s="8"/>
      <c r="EJ1190" s="8"/>
      <c r="EK1190" s="8"/>
      <c r="EL1190" s="8"/>
      <c r="EM1190" s="8"/>
      <c r="EN1190" s="8"/>
      <c r="EO1190" s="8"/>
      <c r="EP1190" s="8"/>
      <c r="EQ1190" s="8"/>
      <c r="ER1190" s="8"/>
      <c r="ES1190" s="8"/>
      <c r="ET1190" s="8"/>
      <c r="EU1190" s="8"/>
      <c r="EV1190" s="8"/>
      <c r="EW1190" s="8"/>
      <c r="EX1190" s="8"/>
      <c r="EY1190" s="8"/>
      <c r="EZ1190" s="8"/>
      <c r="FA1190" s="8"/>
      <c r="FB1190" s="8"/>
      <c r="FC1190" s="8"/>
      <c r="FD1190" s="8"/>
      <c r="FE1190" s="8"/>
      <c r="FF1190" s="8"/>
      <c r="FG1190" s="8"/>
      <c r="FH1190" s="8"/>
      <c r="FI1190" s="8"/>
      <c r="FJ1190" s="8"/>
      <c r="FK1190" s="8"/>
      <c r="FL1190" s="8"/>
      <c r="FM1190" s="8"/>
      <c r="FN1190" s="8"/>
      <c r="FO1190" s="8"/>
      <c r="FP1190" s="8"/>
      <c r="FQ1190" s="8"/>
      <c r="FR1190" s="8"/>
      <c r="FS1190" s="8"/>
      <c r="FT1190" s="8"/>
      <c r="FU1190" s="8"/>
      <c r="FV1190" s="8"/>
      <c r="FW1190" s="8"/>
      <c r="FX1190" s="8"/>
      <c r="FY1190" s="8"/>
      <c r="FZ1190" s="8"/>
      <c r="GA1190" s="8"/>
      <c r="GB1190" s="8"/>
      <c r="GC1190" s="8"/>
      <c r="GD1190" s="8"/>
      <c r="GE1190" s="8"/>
      <c r="GF1190" s="8"/>
      <c r="GG1190" s="8"/>
      <c r="GH1190" s="8"/>
      <c r="GI1190" s="8"/>
      <c r="GJ1190" s="8"/>
      <c r="GK1190" s="8"/>
      <c r="GL1190" s="8"/>
      <c r="GM1190" s="8"/>
      <c r="GN1190" s="8"/>
      <c r="GO1190" s="8"/>
      <c r="GP1190" s="8"/>
      <c r="GQ1190" s="8"/>
      <c r="GR1190" s="8"/>
      <c r="GS1190" s="8"/>
      <c r="GT1190" s="8"/>
      <c r="GU1190" s="8"/>
      <c r="GV1190" s="8"/>
      <c r="GW1190" s="8"/>
      <c r="GX1190" s="8"/>
      <c r="GY1190" s="8"/>
      <c r="GZ1190" s="8"/>
      <c r="HA1190" s="8"/>
      <c r="HB1190" s="8"/>
      <c r="HC1190" s="8"/>
      <c r="HD1190" s="8"/>
      <c r="HE1190" s="8"/>
      <c r="HF1190" s="8"/>
      <c r="HG1190" s="8"/>
      <c r="HH1190" s="8"/>
      <c r="HI1190" s="8"/>
      <c r="HJ1190" s="8"/>
      <c r="HK1190" s="8"/>
      <c r="HL1190" s="8"/>
      <c r="HM1190" s="8"/>
      <c r="HN1190" s="8"/>
      <c r="HO1190" s="8"/>
      <c r="HP1190" s="8"/>
      <c r="HQ1190" s="8"/>
      <c r="HR1190" s="8"/>
      <c r="HS1190" s="8"/>
      <c r="HT1190" s="8"/>
      <c r="HU1190" s="8"/>
      <c r="HV1190" s="8"/>
      <c r="HW1190" s="8"/>
      <c r="HX1190" s="8"/>
      <c r="HY1190" s="8"/>
      <c r="HZ1190" s="8"/>
      <c r="IA1190" s="8"/>
      <c r="IB1190" s="8"/>
      <c r="IC1190" s="8"/>
      <c r="ID1190" s="8"/>
      <c r="IE1190" s="8"/>
      <c r="IF1190" s="8"/>
    </row>
    <row r="1191" spans="1:240" ht="30" customHeight="1">
      <c r="A1191" s="5">
        <v>1189</v>
      </c>
      <c r="B1191" s="5"/>
      <c r="C1191" s="5"/>
      <c r="D1191" s="5" t="s">
        <v>68</v>
      </c>
      <c r="E1191" s="5" t="s">
        <v>48</v>
      </c>
      <c r="F1191" s="5" t="s">
        <v>48</v>
      </c>
      <c r="G1191" s="5" t="s">
        <v>48</v>
      </c>
      <c r="H1191" s="15">
        <f>4740*0.454</f>
        <v>2151.96</v>
      </c>
      <c r="I1191" s="5" t="s">
        <v>13</v>
      </c>
      <c r="J1191" s="15">
        <f>390/4.4</f>
        <v>88.636363636363626</v>
      </c>
      <c r="K1191" s="15">
        <f t="shared" si="35"/>
        <v>5.5560000000000009</v>
      </c>
      <c r="L1191" s="24">
        <v>568.97652871081959</v>
      </c>
      <c r="M1191" s="5">
        <f t="shared" si="34"/>
        <v>3.8800000000000026</v>
      </c>
      <c r="N1191" s="5"/>
      <c r="O1191" s="15">
        <f>26000*1.6978</f>
        <v>44142.8</v>
      </c>
      <c r="P1191" s="5"/>
      <c r="Q1191" s="5"/>
      <c r="R1191" s="5">
        <v>4</v>
      </c>
      <c r="S1191" s="5"/>
      <c r="T1191" s="5"/>
      <c r="U1191" s="5"/>
      <c r="V1191" s="15">
        <f>15*0.7457</f>
        <v>11.185500000000001</v>
      </c>
      <c r="W1191" s="5"/>
      <c r="X1191" s="5"/>
      <c r="Y1191" s="5" t="s">
        <v>48</v>
      </c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16" t="s">
        <v>48</v>
      </c>
      <c r="AN1191" s="5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8"/>
      <c r="BS1191" s="8"/>
      <c r="BT1191" s="8"/>
      <c r="BU1191" s="8"/>
      <c r="BV1191" s="8"/>
      <c r="BW1191" s="8"/>
      <c r="BX1191" s="8"/>
      <c r="BY1191" s="8"/>
      <c r="BZ1191" s="8"/>
      <c r="CA1191" s="8"/>
      <c r="CB1191" s="8"/>
      <c r="CC1191" s="8"/>
      <c r="CD1191" s="8"/>
      <c r="CE1191" s="8"/>
      <c r="CF1191" s="8"/>
      <c r="CG1191" s="8"/>
      <c r="CH1191" s="8"/>
      <c r="CI1191" s="8"/>
      <c r="CJ1191" s="8"/>
      <c r="CK1191" s="8"/>
      <c r="CL1191" s="8"/>
      <c r="CM1191" s="8"/>
      <c r="CN1191" s="8"/>
      <c r="CO1191" s="8"/>
      <c r="CP1191" s="8"/>
      <c r="CQ1191" s="8"/>
      <c r="CR1191" s="8"/>
      <c r="CS1191" s="8"/>
      <c r="CT1191" s="8"/>
      <c r="CU1191" s="8"/>
      <c r="CV1191" s="8"/>
      <c r="CW1191" s="8"/>
      <c r="CX1191" s="8"/>
      <c r="CY1191" s="8"/>
      <c r="CZ1191" s="8"/>
      <c r="DA1191" s="8"/>
      <c r="DB1191" s="8"/>
      <c r="DC1191" s="8"/>
      <c r="DD1191" s="8"/>
      <c r="DE1191" s="8"/>
      <c r="DF1191" s="8"/>
      <c r="DG1191" s="8"/>
      <c r="DH1191" s="8"/>
      <c r="DI1191" s="8"/>
      <c r="DJ1191" s="8"/>
      <c r="DK1191" s="8"/>
      <c r="DL1191" s="8"/>
      <c r="DM1191" s="8"/>
      <c r="DN1191" s="8"/>
      <c r="DO1191" s="8"/>
      <c r="DP1191" s="8"/>
      <c r="DQ1191" s="8"/>
      <c r="DR1191" s="8"/>
      <c r="DS1191" s="8"/>
      <c r="DT1191" s="8"/>
      <c r="DU1191" s="8"/>
      <c r="DV1191" s="8"/>
      <c r="DW1191" s="8"/>
      <c r="DX1191" s="8"/>
      <c r="DY1191" s="8"/>
      <c r="DZ1191" s="8"/>
      <c r="EA1191" s="8"/>
      <c r="EB1191" s="8"/>
      <c r="EC1191" s="8"/>
      <c r="ED1191" s="8"/>
      <c r="EE1191" s="8"/>
      <c r="EF1191" s="8"/>
      <c r="EG1191" s="8"/>
      <c r="EH1191" s="8"/>
      <c r="EI1191" s="8"/>
      <c r="EJ1191" s="8"/>
      <c r="EK1191" s="8"/>
      <c r="EL1191" s="8"/>
      <c r="EM1191" s="8"/>
      <c r="EN1191" s="8"/>
      <c r="EO1191" s="8"/>
      <c r="EP1191" s="8"/>
      <c r="EQ1191" s="8"/>
      <c r="ER1191" s="8"/>
      <c r="ES1191" s="8"/>
      <c r="ET1191" s="8"/>
      <c r="EU1191" s="8"/>
      <c r="EV1191" s="8"/>
      <c r="EW1191" s="8"/>
      <c r="EX1191" s="8"/>
      <c r="EY1191" s="8"/>
      <c r="EZ1191" s="8"/>
      <c r="FA1191" s="8"/>
      <c r="FB1191" s="8"/>
      <c r="FC1191" s="8"/>
      <c r="FD1191" s="8"/>
      <c r="FE1191" s="8"/>
      <c r="FF1191" s="8"/>
      <c r="FG1191" s="8"/>
      <c r="FH1191" s="8"/>
      <c r="FI1191" s="8"/>
      <c r="FJ1191" s="8"/>
      <c r="FK1191" s="8"/>
      <c r="FL1191" s="8"/>
      <c r="FM1191" s="8"/>
      <c r="FN1191" s="8"/>
      <c r="FO1191" s="8"/>
      <c r="FP1191" s="8"/>
      <c r="FQ1191" s="8"/>
      <c r="FR1191" s="8"/>
      <c r="FS1191" s="8"/>
      <c r="FT1191" s="8"/>
      <c r="FU1191" s="8"/>
      <c r="FV1191" s="8"/>
      <c r="FW1191" s="8"/>
      <c r="FX1191" s="8"/>
      <c r="FY1191" s="8"/>
      <c r="FZ1191" s="8"/>
      <c r="GA1191" s="8"/>
      <c r="GB1191" s="8"/>
      <c r="GC1191" s="8"/>
      <c r="GD1191" s="8"/>
      <c r="GE1191" s="8"/>
      <c r="GF1191" s="8"/>
      <c r="GG1191" s="8"/>
      <c r="GH1191" s="8"/>
      <c r="GI1191" s="8"/>
      <c r="GJ1191" s="8"/>
      <c r="GK1191" s="8"/>
      <c r="GL1191" s="8"/>
      <c r="GM1191" s="8"/>
      <c r="GN1191" s="8"/>
      <c r="GO1191" s="8"/>
      <c r="GP1191" s="8"/>
      <c r="GQ1191" s="8"/>
      <c r="GR1191" s="8"/>
      <c r="GS1191" s="8"/>
      <c r="GT1191" s="8"/>
      <c r="GU1191" s="8"/>
      <c r="GV1191" s="8"/>
      <c r="GW1191" s="8"/>
      <c r="GX1191" s="8"/>
      <c r="GY1191" s="8"/>
      <c r="GZ1191" s="8"/>
      <c r="HA1191" s="8"/>
      <c r="HB1191" s="8"/>
      <c r="HC1191" s="8"/>
      <c r="HD1191" s="8"/>
      <c r="HE1191" s="8"/>
      <c r="HF1191" s="8"/>
      <c r="HG1191" s="8"/>
      <c r="HH1191" s="8"/>
      <c r="HI1191" s="8"/>
      <c r="HJ1191" s="8"/>
      <c r="HK1191" s="8"/>
      <c r="HL1191" s="8"/>
      <c r="HM1191" s="8"/>
      <c r="HN1191" s="8"/>
      <c r="HO1191" s="8"/>
      <c r="HP1191" s="8"/>
      <c r="HQ1191" s="8"/>
      <c r="HR1191" s="8"/>
      <c r="HS1191" s="8"/>
      <c r="HT1191" s="8"/>
      <c r="HU1191" s="8"/>
      <c r="HV1191" s="8"/>
      <c r="HW1191" s="8"/>
      <c r="HX1191" s="8"/>
      <c r="HY1191" s="8"/>
      <c r="HZ1191" s="8"/>
      <c r="IA1191" s="8"/>
      <c r="IB1191" s="8"/>
      <c r="IC1191" s="8"/>
      <c r="ID1191" s="8"/>
      <c r="IE1191" s="8"/>
      <c r="IF1191" s="8"/>
    </row>
    <row r="1192" spans="1:240" ht="30" customHeight="1">
      <c r="A1192" s="5">
        <v>1190</v>
      </c>
      <c r="B1192" s="5"/>
      <c r="C1192" s="5"/>
      <c r="D1192" s="5" t="s">
        <v>68</v>
      </c>
      <c r="E1192" s="5" t="s">
        <v>48</v>
      </c>
      <c r="F1192" s="5" t="s">
        <v>48</v>
      </c>
      <c r="G1192" s="5" t="s">
        <v>48</v>
      </c>
      <c r="H1192" s="15">
        <f>4800*0.454</f>
        <v>2179.2000000000003</v>
      </c>
      <c r="I1192" s="5" t="s">
        <v>13</v>
      </c>
      <c r="J1192" s="15">
        <f>426/4.4</f>
        <v>96.818181818181813</v>
      </c>
      <c r="K1192" s="15">
        <f t="shared" si="35"/>
        <v>5.5560000000000009</v>
      </c>
      <c r="L1192" s="24">
        <v>621.49743905335686</v>
      </c>
      <c r="M1192" s="5">
        <f t="shared" si="34"/>
        <v>3.8800000000000026</v>
      </c>
      <c r="N1192" s="5"/>
      <c r="O1192" s="15">
        <f>28400*1.6978</f>
        <v>48217.52</v>
      </c>
      <c r="P1192" s="5"/>
      <c r="Q1192" s="5"/>
      <c r="R1192" s="5">
        <v>4</v>
      </c>
      <c r="S1192" s="5"/>
      <c r="T1192" s="5"/>
      <c r="U1192" s="5"/>
      <c r="V1192" s="15">
        <f>20*0.7457</f>
        <v>14.914000000000001</v>
      </c>
      <c r="W1192" s="5"/>
      <c r="X1192" s="5"/>
      <c r="Y1192" s="5" t="s">
        <v>48</v>
      </c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16" t="s">
        <v>48</v>
      </c>
      <c r="AN1192" s="5"/>
      <c r="AO1192" s="8"/>
      <c r="AP1192" s="8"/>
      <c r="AQ1192" s="8"/>
      <c r="AR1192" s="8"/>
      <c r="AS1192" s="8"/>
      <c r="AT1192" s="8"/>
      <c r="AU1192" s="8"/>
      <c r="AV1192" s="8"/>
      <c r="AW1192" s="8"/>
      <c r="AX1192" s="8"/>
      <c r="AY1192" s="8"/>
      <c r="AZ1192" s="8"/>
      <c r="BA1192" s="8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8"/>
      <c r="BS1192" s="8"/>
      <c r="BT1192" s="8"/>
      <c r="BU1192" s="8"/>
      <c r="BV1192" s="8"/>
      <c r="BW1192" s="8"/>
      <c r="BX1192" s="8"/>
      <c r="BY1192" s="8"/>
      <c r="BZ1192" s="8"/>
      <c r="CA1192" s="8"/>
      <c r="CB1192" s="8"/>
      <c r="CC1192" s="8"/>
      <c r="CD1192" s="8"/>
      <c r="CE1192" s="8"/>
      <c r="CF1192" s="8"/>
      <c r="CG1192" s="8"/>
      <c r="CH1192" s="8"/>
      <c r="CI1192" s="8"/>
      <c r="CJ1192" s="8"/>
      <c r="CK1192" s="8"/>
      <c r="CL1192" s="8"/>
      <c r="CM1192" s="8"/>
      <c r="CN1192" s="8"/>
      <c r="CO1192" s="8"/>
      <c r="CP1192" s="8"/>
      <c r="CQ1192" s="8"/>
      <c r="CR1192" s="8"/>
      <c r="CS1192" s="8"/>
      <c r="CT1192" s="8"/>
      <c r="CU1192" s="8"/>
      <c r="CV1192" s="8"/>
      <c r="CW1192" s="8"/>
      <c r="CX1192" s="8"/>
      <c r="CY1192" s="8"/>
      <c r="CZ1192" s="8"/>
      <c r="DA1192" s="8"/>
      <c r="DB1192" s="8"/>
      <c r="DC1192" s="8"/>
      <c r="DD1192" s="8"/>
      <c r="DE1192" s="8"/>
      <c r="DF1192" s="8"/>
      <c r="DG1192" s="8"/>
      <c r="DH1192" s="8"/>
      <c r="DI1192" s="8"/>
      <c r="DJ1192" s="8"/>
      <c r="DK1192" s="8"/>
      <c r="DL1192" s="8"/>
      <c r="DM1192" s="8"/>
      <c r="DN1192" s="8"/>
      <c r="DO1192" s="8"/>
      <c r="DP1192" s="8"/>
      <c r="DQ1192" s="8"/>
      <c r="DR1192" s="8"/>
      <c r="DS1192" s="8"/>
      <c r="DT1192" s="8"/>
      <c r="DU1192" s="8"/>
      <c r="DV1192" s="8"/>
      <c r="DW1192" s="8"/>
      <c r="DX1192" s="8"/>
      <c r="DY1192" s="8"/>
      <c r="DZ1192" s="8"/>
      <c r="EA1192" s="8"/>
      <c r="EB1192" s="8"/>
      <c r="EC1192" s="8"/>
      <c r="ED1192" s="8"/>
      <c r="EE1192" s="8"/>
      <c r="EF1192" s="8"/>
      <c r="EG1192" s="8"/>
      <c r="EH1192" s="8"/>
      <c r="EI1192" s="8"/>
      <c r="EJ1192" s="8"/>
      <c r="EK1192" s="8"/>
      <c r="EL1192" s="8"/>
      <c r="EM1192" s="8"/>
      <c r="EN1192" s="8"/>
      <c r="EO1192" s="8"/>
      <c r="EP1192" s="8"/>
      <c r="EQ1192" s="8"/>
      <c r="ER1192" s="8"/>
      <c r="ES1192" s="8"/>
      <c r="ET1192" s="8"/>
      <c r="EU1192" s="8"/>
      <c r="EV1192" s="8"/>
      <c r="EW1192" s="8"/>
      <c r="EX1192" s="8"/>
      <c r="EY1192" s="8"/>
      <c r="EZ1192" s="8"/>
      <c r="FA1192" s="8"/>
      <c r="FB1192" s="8"/>
      <c r="FC1192" s="8"/>
      <c r="FD1192" s="8"/>
      <c r="FE1192" s="8"/>
      <c r="FF1192" s="8"/>
      <c r="FG1192" s="8"/>
      <c r="FH1192" s="8"/>
      <c r="FI1192" s="8"/>
      <c r="FJ1192" s="8"/>
      <c r="FK1192" s="8"/>
      <c r="FL1192" s="8"/>
      <c r="FM1192" s="8"/>
      <c r="FN1192" s="8"/>
      <c r="FO1192" s="8"/>
      <c r="FP1192" s="8"/>
      <c r="FQ1192" s="8"/>
      <c r="FR1192" s="8"/>
      <c r="FS1192" s="8"/>
      <c r="FT1192" s="8"/>
      <c r="FU1192" s="8"/>
      <c r="FV1192" s="8"/>
      <c r="FW1192" s="8"/>
      <c r="FX1192" s="8"/>
      <c r="FY1192" s="8"/>
      <c r="FZ1192" s="8"/>
      <c r="GA1192" s="8"/>
      <c r="GB1192" s="8"/>
      <c r="GC1192" s="8"/>
      <c r="GD1192" s="8"/>
      <c r="GE1192" s="8"/>
      <c r="GF1192" s="8"/>
      <c r="GG1192" s="8"/>
      <c r="GH1192" s="8"/>
      <c r="GI1192" s="8"/>
      <c r="GJ1192" s="8"/>
      <c r="GK1192" s="8"/>
      <c r="GL1192" s="8"/>
      <c r="GM1192" s="8"/>
      <c r="GN1192" s="8"/>
      <c r="GO1192" s="8"/>
      <c r="GP1192" s="8"/>
      <c r="GQ1192" s="8"/>
      <c r="GR1192" s="8"/>
      <c r="GS1192" s="8"/>
      <c r="GT1192" s="8"/>
      <c r="GU1192" s="8"/>
      <c r="GV1192" s="8"/>
      <c r="GW1192" s="8"/>
      <c r="GX1192" s="8"/>
      <c r="GY1192" s="8"/>
      <c r="GZ1192" s="8"/>
      <c r="HA1192" s="8"/>
      <c r="HB1192" s="8"/>
      <c r="HC1192" s="8"/>
      <c r="HD1192" s="8"/>
      <c r="HE1192" s="8"/>
      <c r="HF1192" s="8"/>
      <c r="HG1192" s="8"/>
      <c r="HH1192" s="8"/>
      <c r="HI1192" s="8"/>
      <c r="HJ1192" s="8"/>
      <c r="HK1192" s="8"/>
      <c r="HL1192" s="8"/>
      <c r="HM1192" s="8"/>
      <c r="HN1192" s="8"/>
      <c r="HO1192" s="8"/>
      <c r="HP1192" s="8"/>
      <c r="HQ1192" s="8"/>
      <c r="HR1192" s="8"/>
      <c r="HS1192" s="8"/>
      <c r="HT1192" s="8"/>
      <c r="HU1192" s="8"/>
      <c r="HV1192" s="8"/>
      <c r="HW1192" s="8"/>
      <c r="HX1192" s="8"/>
      <c r="HY1192" s="8"/>
      <c r="HZ1192" s="8"/>
      <c r="IA1192" s="8"/>
      <c r="IB1192" s="8"/>
      <c r="IC1192" s="8"/>
      <c r="ID1192" s="8"/>
      <c r="IE1192" s="8"/>
      <c r="IF1192" s="8"/>
    </row>
    <row r="1193" spans="1:240" ht="30" customHeight="1">
      <c r="A1193" s="5">
        <v>1191</v>
      </c>
      <c r="B1193" s="5"/>
      <c r="C1193" s="5"/>
      <c r="D1193" s="5" t="s">
        <v>68</v>
      </c>
      <c r="E1193" s="5" t="s">
        <v>48</v>
      </c>
      <c r="F1193" s="5" t="s">
        <v>48</v>
      </c>
      <c r="G1193" s="5" t="s">
        <v>48</v>
      </c>
      <c r="H1193" s="15">
        <f>6330*0.454</f>
        <v>2873.82</v>
      </c>
      <c r="I1193" s="5" t="s">
        <v>13</v>
      </c>
      <c r="J1193" s="15">
        <f>482/4.4</f>
        <v>109.54545454545453</v>
      </c>
      <c r="K1193" s="15">
        <f t="shared" si="35"/>
        <v>5.5560000000000009</v>
      </c>
      <c r="L1193" s="24">
        <v>703.19663291952565</v>
      </c>
      <c r="M1193" s="5">
        <f t="shared" si="34"/>
        <v>3.8800000000000026</v>
      </c>
      <c r="N1193" s="5"/>
      <c r="O1193" s="15">
        <f>40200*1.6978</f>
        <v>68251.56</v>
      </c>
      <c r="P1193" s="5"/>
      <c r="Q1193" s="5"/>
      <c r="R1193" s="5">
        <v>6</v>
      </c>
      <c r="S1193" s="5"/>
      <c r="T1193" s="5"/>
      <c r="U1193" s="5"/>
      <c r="V1193" s="27">
        <f>20*0.7457</f>
        <v>14.914000000000001</v>
      </c>
      <c r="W1193" s="5"/>
      <c r="X1193" s="5"/>
      <c r="Y1193" s="5" t="s">
        <v>48</v>
      </c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16" t="s">
        <v>48</v>
      </c>
      <c r="AN1193" s="5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8"/>
      <c r="BS1193" s="8"/>
      <c r="BT1193" s="8"/>
      <c r="BU1193" s="8"/>
      <c r="BV1193" s="8"/>
      <c r="BW1193" s="8"/>
      <c r="BX1193" s="8"/>
      <c r="BY1193" s="8"/>
      <c r="BZ1193" s="8"/>
      <c r="CA1193" s="8"/>
      <c r="CB1193" s="8"/>
      <c r="CC1193" s="8"/>
      <c r="CD1193" s="8"/>
      <c r="CE1193" s="8"/>
      <c r="CF1193" s="8"/>
      <c r="CG1193" s="8"/>
      <c r="CH1193" s="8"/>
      <c r="CI1193" s="8"/>
      <c r="CJ1193" s="8"/>
      <c r="CK1193" s="8"/>
      <c r="CL1193" s="8"/>
      <c r="CM1193" s="8"/>
      <c r="CN1193" s="8"/>
      <c r="CO1193" s="8"/>
      <c r="CP1193" s="8"/>
      <c r="CQ1193" s="8"/>
      <c r="CR1193" s="8"/>
      <c r="CS1193" s="8"/>
      <c r="CT1193" s="8"/>
      <c r="CU1193" s="8"/>
      <c r="CV1193" s="8"/>
      <c r="CW1193" s="8"/>
      <c r="CX1193" s="8"/>
      <c r="CY1193" s="8"/>
      <c r="CZ1193" s="8"/>
      <c r="DA1193" s="8"/>
      <c r="DB1193" s="8"/>
      <c r="DC1193" s="8"/>
      <c r="DD1193" s="8"/>
      <c r="DE1193" s="8"/>
      <c r="DF1193" s="8"/>
      <c r="DG1193" s="8"/>
      <c r="DH1193" s="8"/>
      <c r="DI1193" s="8"/>
      <c r="DJ1193" s="8"/>
      <c r="DK1193" s="8"/>
      <c r="DL1193" s="8"/>
      <c r="DM1193" s="8"/>
      <c r="DN1193" s="8"/>
      <c r="DO1193" s="8"/>
      <c r="DP1193" s="8"/>
      <c r="DQ1193" s="8"/>
      <c r="DR1193" s="8"/>
      <c r="DS1193" s="8"/>
      <c r="DT1193" s="8"/>
      <c r="DU1193" s="8"/>
      <c r="DV1193" s="8"/>
      <c r="DW1193" s="8"/>
      <c r="DX1193" s="8"/>
      <c r="DY1193" s="8"/>
      <c r="DZ1193" s="8"/>
      <c r="EA1193" s="8"/>
      <c r="EB1193" s="8"/>
      <c r="EC1193" s="8"/>
      <c r="ED1193" s="8"/>
      <c r="EE1193" s="8"/>
      <c r="EF1193" s="8"/>
      <c r="EG1193" s="8"/>
      <c r="EH1193" s="8"/>
      <c r="EI1193" s="8"/>
      <c r="EJ1193" s="8"/>
      <c r="EK1193" s="8"/>
      <c r="EL1193" s="8"/>
      <c r="EM1193" s="8"/>
      <c r="EN1193" s="8"/>
      <c r="EO1193" s="8"/>
      <c r="EP1193" s="8"/>
      <c r="EQ1193" s="8"/>
      <c r="ER1193" s="8"/>
      <c r="ES1193" s="8"/>
      <c r="ET1193" s="8"/>
      <c r="EU1193" s="8"/>
      <c r="EV1193" s="8"/>
      <c r="EW1193" s="8"/>
      <c r="EX1193" s="8"/>
      <c r="EY1193" s="8"/>
      <c r="EZ1193" s="8"/>
      <c r="FA1193" s="8"/>
      <c r="FB1193" s="8"/>
      <c r="FC1193" s="8"/>
      <c r="FD1193" s="8"/>
      <c r="FE1193" s="8"/>
      <c r="FF1193" s="8"/>
      <c r="FG1193" s="8"/>
      <c r="FH1193" s="8"/>
      <c r="FI1193" s="8"/>
      <c r="FJ1193" s="8"/>
      <c r="FK1193" s="8"/>
      <c r="FL1193" s="8"/>
      <c r="FM1193" s="8"/>
      <c r="FN1193" s="8"/>
      <c r="FO1193" s="8"/>
      <c r="FP1193" s="8"/>
      <c r="FQ1193" s="8"/>
      <c r="FR1193" s="8"/>
      <c r="FS1193" s="8"/>
      <c r="FT1193" s="8"/>
      <c r="FU1193" s="8"/>
      <c r="FV1193" s="8"/>
      <c r="FW1193" s="8"/>
      <c r="FX1193" s="8"/>
      <c r="FY1193" s="8"/>
      <c r="FZ1193" s="8"/>
      <c r="GA1193" s="8"/>
      <c r="GB1193" s="8"/>
      <c r="GC1193" s="8"/>
      <c r="GD1193" s="8"/>
      <c r="GE1193" s="8"/>
      <c r="GF1193" s="8"/>
      <c r="GG1193" s="8"/>
      <c r="GH1193" s="8"/>
      <c r="GI1193" s="8"/>
      <c r="GJ1193" s="8"/>
      <c r="GK1193" s="8"/>
      <c r="GL1193" s="8"/>
      <c r="GM1193" s="8"/>
      <c r="GN1193" s="8"/>
      <c r="GO1193" s="8"/>
      <c r="GP1193" s="8"/>
      <c r="GQ1193" s="8"/>
      <c r="GR1193" s="8"/>
      <c r="GS1193" s="8"/>
      <c r="GT1193" s="8"/>
      <c r="GU1193" s="8"/>
      <c r="GV1193" s="8"/>
      <c r="GW1193" s="8"/>
      <c r="GX1193" s="8"/>
      <c r="GY1193" s="8"/>
      <c r="GZ1193" s="8"/>
      <c r="HA1193" s="8"/>
      <c r="HB1193" s="8"/>
      <c r="HC1193" s="8"/>
      <c r="HD1193" s="8"/>
      <c r="HE1193" s="8"/>
      <c r="HF1193" s="8"/>
      <c r="HG1193" s="8"/>
      <c r="HH1193" s="8"/>
      <c r="HI1193" s="8"/>
      <c r="HJ1193" s="8"/>
      <c r="HK1193" s="8"/>
      <c r="HL1193" s="8"/>
      <c r="HM1193" s="8"/>
      <c r="HN1193" s="8"/>
      <c r="HO1193" s="8"/>
      <c r="HP1193" s="8"/>
      <c r="HQ1193" s="8"/>
      <c r="HR1193" s="8"/>
      <c r="HS1193" s="8"/>
      <c r="HT1193" s="8"/>
      <c r="HU1193" s="8"/>
      <c r="HV1193" s="8"/>
      <c r="HW1193" s="8"/>
      <c r="HX1193" s="8"/>
      <c r="HY1193" s="8"/>
      <c r="HZ1193" s="8"/>
      <c r="IA1193" s="8"/>
      <c r="IB1193" s="8"/>
      <c r="IC1193" s="8"/>
      <c r="ID1193" s="8"/>
      <c r="IE1193" s="8"/>
      <c r="IF1193" s="8"/>
    </row>
    <row r="1194" spans="1:240" ht="30" customHeight="1">
      <c r="A1194" s="5">
        <v>1192</v>
      </c>
      <c r="B1194" s="5"/>
      <c r="C1194" s="5"/>
      <c r="D1194" s="5" t="s">
        <v>68</v>
      </c>
      <c r="E1194" s="5" t="s">
        <v>48</v>
      </c>
      <c r="F1194" s="5" t="s">
        <v>48</v>
      </c>
      <c r="G1194" s="5" t="s">
        <v>48</v>
      </c>
      <c r="H1194" s="15">
        <f>6600*0.454</f>
        <v>2996.4</v>
      </c>
      <c r="I1194" s="5" t="s">
        <v>13</v>
      </c>
      <c r="J1194" s="15">
        <f>538/4.4</f>
        <v>122.27272727272727</v>
      </c>
      <c r="K1194" s="15">
        <f t="shared" si="35"/>
        <v>5.5560000000000009</v>
      </c>
      <c r="L1194" s="24">
        <v>784.89582678569468</v>
      </c>
      <c r="M1194" s="5">
        <f t="shared" si="34"/>
        <v>3.8800000000000026</v>
      </c>
      <c r="N1194" s="5"/>
      <c r="O1194" s="15">
        <f>39200*1.6978</f>
        <v>66553.759999999995</v>
      </c>
      <c r="P1194" s="5"/>
      <c r="Q1194" s="5"/>
      <c r="R1194" s="5">
        <v>6</v>
      </c>
      <c r="S1194" s="5"/>
      <c r="T1194" s="5"/>
      <c r="U1194" s="5"/>
      <c r="V1194" s="15">
        <f>20*0.7457</f>
        <v>14.914000000000001</v>
      </c>
      <c r="W1194" s="5"/>
      <c r="X1194" s="5"/>
      <c r="Y1194" s="5" t="s">
        <v>48</v>
      </c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16" t="s">
        <v>48</v>
      </c>
      <c r="AN1194" s="5"/>
      <c r="AO1194" s="8"/>
      <c r="AP1194" s="8"/>
      <c r="AQ1194" s="8"/>
      <c r="AR1194" s="8"/>
      <c r="AS1194" s="8"/>
      <c r="AT1194" s="8"/>
      <c r="AU1194" s="8"/>
      <c r="AV1194" s="8"/>
      <c r="AW1194" s="8"/>
      <c r="AX1194" s="8"/>
      <c r="AY1194" s="8"/>
      <c r="AZ1194" s="8"/>
      <c r="BA1194" s="8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8"/>
      <c r="BS1194" s="8"/>
      <c r="BT1194" s="8"/>
      <c r="BU1194" s="8"/>
      <c r="BV1194" s="8"/>
      <c r="BW1194" s="8"/>
      <c r="BX1194" s="8"/>
      <c r="BY1194" s="8"/>
      <c r="BZ1194" s="8"/>
      <c r="CA1194" s="8"/>
      <c r="CB1194" s="8"/>
      <c r="CC1194" s="8"/>
      <c r="CD1194" s="8"/>
      <c r="CE1194" s="8"/>
      <c r="CF1194" s="8"/>
      <c r="CG1194" s="8"/>
      <c r="CH1194" s="8"/>
      <c r="CI1194" s="8"/>
      <c r="CJ1194" s="8"/>
      <c r="CK1194" s="8"/>
      <c r="CL1194" s="8"/>
      <c r="CM1194" s="8"/>
      <c r="CN1194" s="8"/>
      <c r="CO1194" s="8"/>
      <c r="CP1194" s="8"/>
      <c r="CQ1194" s="8"/>
      <c r="CR1194" s="8"/>
      <c r="CS1194" s="8"/>
      <c r="CT1194" s="8"/>
      <c r="CU1194" s="8"/>
      <c r="CV1194" s="8"/>
      <c r="CW1194" s="8"/>
      <c r="CX1194" s="8"/>
      <c r="CY1194" s="8"/>
      <c r="CZ1194" s="8"/>
      <c r="DA1194" s="8"/>
      <c r="DB1194" s="8"/>
      <c r="DC1194" s="8"/>
      <c r="DD1194" s="8"/>
      <c r="DE1194" s="8"/>
      <c r="DF1194" s="8"/>
      <c r="DG1194" s="8"/>
      <c r="DH1194" s="8"/>
      <c r="DI1194" s="8"/>
      <c r="DJ1194" s="8"/>
      <c r="DK1194" s="8"/>
      <c r="DL1194" s="8"/>
      <c r="DM1194" s="8"/>
      <c r="DN1194" s="8"/>
      <c r="DO1194" s="8"/>
      <c r="DP1194" s="8"/>
      <c r="DQ1194" s="8"/>
      <c r="DR1194" s="8"/>
      <c r="DS1194" s="8"/>
      <c r="DT1194" s="8"/>
      <c r="DU1194" s="8"/>
      <c r="DV1194" s="8"/>
      <c r="DW1194" s="8"/>
      <c r="DX1194" s="8"/>
      <c r="DY1194" s="8"/>
      <c r="DZ1194" s="8"/>
      <c r="EA1194" s="8"/>
      <c r="EB1194" s="8"/>
      <c r="EC1194" s="8"/>
      <c r="ED1194" s="8"/>
      <c r="EE1194" s="8"/>
      <c r="EF1194" s="8"/>
      <c r="EG1194" s="8"/>
      <c r="EH1194" s="8"/>
      <c r="EI1194" s="8"/>
      <c r="EJ1194" s="8"/>
      <c r="EK1194" s="8"/>
      <c r="EL1194" s="8"/>
      <c r="EM1194" s="8"/>
      <c r="EN1194" s="8"/>
      <c r="EO1194" s="8"/>
      <c r="EP1194" s="8"/>
      <c r="EQ1194" s="8"/>
      <c r="ER1194" s="8"/>
      <c r="ES1194" s="8"/>
      <c r="ET1194" s="8"/>
      <c r="EU1194" s="8"/>
      <c r="EV1194" s="8"/>
      <c r="EW1194" s="8"/>
      <c r="EX1194" s="8"/>
      <c r="EY1194" s="8"/>
      <c r="EZ1194" s="8"/>
      <c r="FA1194" s="8"/>
      <c r="FB1194" s="8"/>
      <c r="FC1194" s="8"/>
      <c r="FD1194" s="8"/>
      <c r="FE1194" s="8"/>
      <c r="FF1194" s="8"/>
      <c r="FG1194" s="8"/>
      <c r="FH1194" s="8"/>
      <c r="FI1194" s="8"/>
      <c r="FJ1194" s="8"/>
      <c r="FK1194" s="8"/>
      <c r="FL1194" s="8"/>
      <c r="FM1194" s="8"/>
      <c r="FN1194" s="8"/>
      <c r="FO1194" s="8"/>
      <c r="FP1194" s="8"/>
      <c r="FQ1194" s="8"/>
      <c r="FR1194" s="8"/>
      <c r="FS1194" s="8"/>
      <c r="FT1194" s="8"/>
      <c r="FU1194" s="8"/>
      <c r="FV1194" s="8"/>
      <c r="FW1194" s="8"/>
      <c r="FX1194" s="8"/>
      <c r="FY1194" s="8"/>
      <c r="FZ1194" s="8"/>
      <c r="GA1194" s="8"/>
      <c r="GB1194" s="8"/>
      <c r="GC1194" s="8"/>
      <c r="GD1194" s="8"/>
      <c r="GE1194" s="8"/>
      <c r="GF1194" s="8"/>
      <c r="GG1194" s="8"/>
      <c r="GH1194" s="8"/>
      <c r="GI1194" s="8"/>
      <c r="GJ1194" s="8"/>
      <c r="GK1194" s="8"/>
      <c r="GL1194" s="8"/>
      <c r="GM1194" s="8"/>
      <c r="GN1194" s="8"/>
      <c r="GO1194" s="8"/>
      <c r="GP1194" s="8"/>
      <c r="GQ1194" s="8"/>
      <c r="GR1194" s="8"/>
      <c r="GS1194" s="8"/>
      <c r="GT1194" s="8"/>
      <c r="GU1194" s="8"/>
      <c r="GV1194" s="8"/>
      <c r="GW1194" s="8"/>
      <c r="GX1194" s="8"/>
      <c r="GY1194" s="8"/>
      <c r="GZ1194" s="8"/>
      <c r="HA1194" s="8"/>
      <c r="HB1194" s="8"/>
      <c r="HC1194" s="8"/>
      <c r="HD1194" s="8"/>
      <c r="HE1194" s="8"/>
      <c r="HF1194" s="8"/>
      <c r="HG1194" s="8"/>
      <c r="HH1194" s="8"/>
      <c r="HI1194" s="8"/>
      <c r="HJ1194" s="8"/>
      <c r="HK1194" s="8"/>
      <c r="HL1194" s="8"/>
      <c r="HM1194" s="8"/>
      <c r="HN1194" s="8"/>
      <c r="HO1194" s="8"/>
      <c r="HP1194" s="8"/>
      <c r="HQ1194" s="8"/>
      <c r="HR1194" s="8"/>
      <c r="HS1194" s="8"/>
      <c r="HT1194" s="8"/>
      <c r="HU1194" s="8"/>
      <c r="HV1194" s="8"/>
      <c r="HW1194" s="8"/>
      <c r="HX1194" s="8"/>
      <c r="HY1194" s="8"/>
      <c r="HZ1194" s="8"/>
      <c r="IA1194" s="8"/>
      <c r="IB1194" s="8"/>
      <c r="IC1194" s="8"/>
      <c r="ID1194" s="8"/>
      <c r="IE1194" s="8"/>
      <c r="IF1194" s="8"/>
    </row>
    <row r="1195" spans="1:240" ht="30" customHeight="1">
      <c r="A1195" s="5">
        <v>1193</v>
      </c>
      <c r="B1195" s="5"/>
      <c r="C1195" s="5"/>
      <c r="D1195" s="5" t="s">
        <v>68</v>
      </c>
      <c r="E1195" s="5" t="s">
        <v>48</v>
      </c>
      <c r="F1195" s="5" t="s">
        <v>48</v>
      </c>
      <c r="G1195" s="5" t="s">
        <v>48</v>
      </c>
      <c r="H1195" s="15">
        <f>6630*0.454</f>
        <v>3010.02</v>
      </c>
      <c r="I1195" s="5" t="s">
        <v>13</v>
      </c>
      <c r="J1195" s="15">
        <f>580/4.4</f>
        <v>131.81818181818181</v>
      </c>
      <c r="K1195" s="15">
        <f t="shared" si="35"/>
        <v>5.5560000000000009</v>
      </c>
      <c r="L1195" s="24">
        <v>846.17022218532145</v>
      </c>
      <c r="M1195" s="5">
        <f t="shared" si="34"/>
        <v>3.8800000000000026</v>
      </c>
      <c r="N1195" s="5"/>
      <c r="O1195" s="15">
        <f>41900*1.6978</f>
        <v>71137.819999999992</v>
      </c>
      <c r="P1195" s="5"/>
      <c r="Q1195" s="5"/>
      <c r="R1195" s="5">
        <v>6</v>
      </c>
      <c r="S1195" s="5"/>
      <c r="T1195" s="5"/>
      <c r="U1195" s="5"/>
      <c r="V1195" s="15">
        <f>25*0.7457</f>
        <v>18.642500000000002</v>
      </c>
      <c r="W1195" s="5"/>
      <c r="X1195" s="5"/>
      <c r="Y1195" s="5" t="s">
        <v>48</v>
      </c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16" t="s">
        <v>48</v>
      </c>
      <c r="AN1195" s="5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8"/>
      <c r="BS1195" s="8"/>
      <c r="BT1195" s="8"/>
      <c r="BU1195" s="8"/>
      <c r="BV1195" s="8"/>
      <c r="BW1195" s="8"/>
      <c r="BX1195" s="8"/>
      <c r="BY1195" s="8"/>
      <c r="BZ1195" s="8"/>
      <c r="CA1195" s="8"/>
      <c r="CB1195" s="8"/>
      <c r="CC1195" s="8"/>
      <c r="CD1195" s="8"/>
      <c r="CE1195" s="8"/>
      <c r="CF1195" s="8"/>
      <c r="CG1195" s="8"/>
      <c r="CH1195" s="8"/>
      <c r="CI1195" s="8"/>
      <c r="CJ1195" s="8"/>
      <c r="CK1195" s="8"/>
      <c r="CL1195" s="8"/>
      <c r="CM1195" s="8"/>
      <c r="CN1195" s="8"/>
      <c r="CO1195" s="8"/>
      <c r="CP1195" s="8"/>
      <c r="CQ1195" s="8"/>
      <c r="CR1195" s="8"/>
      <c r="CS1195" s="8"/>
      <c r="CT1195" s="8"/>
      <c r="CU1195" s="8"/>
      <c r="CV1195" s="8"/>
      <c r="CW1195" s="8"/>
      <c r="CX1195" s="8"/>
      <c r="CY1195" s="8"/>
      <c r="CZ1195" s="8"/>
      <c r="DA1195" s="8"/>
      <c r="DB1195" s="8"/>
      <c r="DC1195" s="8"/>
      <c r="DD1195" s="8"/>
      <c r="DE1195" s="8"/>
      <c r="DF1195" s="8"/>
      <c r="DG1195" s="8"/>
      <c r="DH1195" s="8"/>
      <c r="DI1195" s="8"/>
      <c r="DJ1195" s="8"/>
      <c r="DK1195" s="8"/>
      <c r="DL1195" s="8"/>
      <c r="DM1195" s="8"/>
      <c r="DN1195" s="8"/>
      <c r="DO1195" s="8"/>
      <c r="DP1195" s="8"/>
      <c r="DQ1195" s="8"/>
      <c r="DR1195" s="8"/>
      <c r="DS1195" s="8"/>
      <c r="DT1195" s="8"/>
      <c r="DU1195" s="8"/>
      <c r="DV1195" s="8"/>
      <c r="DW1195" s="8"/>
      <c r="DX1195" s="8"/>
      <c r="DY1195" s="8"/>
      <c r="DZ1195" s="8"/>
      <c r="EA1195" s="8"/>
      <c r="EB1195" s="8"/>
      <c r="EC1195" s="8"/>
      <c r="ED1195" s="8"/>
      <c r="EE1195" s="8"/>
      <c r="EF1195" s="8"/>
      <c r="EG1195" s="8"/>
      <c r="EH1195" s="8"/>
      <c r="EI1195" s="8"/>
      <c r="EJ1195" s="8"/>
      <c r="EK1195" s="8"/>
      <c r="EL1195" s="8"/>
      <c r="EM1195" s="8"/>
      <c r="EN1195" s="8"/>
      <c r="EO1195" s="8"/>
      <c r="EP1195" s="8"/>
      <c r="EQ1195" s="8"/>
      <c r="ER1195" s="8"/>
      <c r="ES1195" s="8"/>
      <c r="ET1195" s="8"/>
      <c r="EU1195" s="8"/>
      <c r="EV1195" s="8"/>
      <c r="EW1195" s="8"/>
      <c r="EX1195" s="8"/>
      <c r="EY1195" s="8"/>
      <c r="EZ1195" s="8"/>
      <c r="FA1195" s="8"/>
      <c r="FB1195" s="8"/>
      <c r="FC1195" s="8"/>
      <c r="FD1195" s="8"/>
      <c r="FE1195" s="8"/>
      <c r="FF1195" s="8"/>
      <c r="FG1195" s="8"/>
      <c r="FH1195" s="8"/>
      <c r="FI1195" s="8"/>
      <c r="FJ1195" s="8"/>
      <c r="FK1195" s="8"/>
      <c r="FL1195" s="8"/>
      <c r="FM1195" s="8"/>
      <c r="FN1195" s="8"/>
      <c r="FO1195" s="8"/>
      <c r="FP1195" s="8"/>
      <c r="FQ1195" s="8"/>
      <c r="FR1195" s="8"/>
      <c r="FS1195" s="8"/>
      <c r="FT1195" s="8"/>
      <c r="FU1195" s="8"/>
      <c r="FV1195" s="8"/>
      <c r="FW1195" s="8"/>
      <c r="FX1195" s="8"/>
      <c r="FY1195" s="8"/>
      <c r="FZ1195" s="8"/>
      <c r="GA1195" s="8"/>
      <c r="GB1195" s="8"/>
      <c r="GC1195" s="8"/>
      <c r="GD1195" s="8"/>
      <c r="GE1195" s="8"/>
      <c r="GF1195" s="8"/>
      <c r="GG1195" s="8"/>
      <c r="GH1195" s="8"/>
      <c r="GI1195" s="8"/>
      <c r="GJ1195" s="8"/>
      <c r="GK1195" s="8"/>
      <c r="GL1195" s="8"/>
      <c r="GM1195" s="8"/>
      <c r="GN1195" s="8"/>
      <c r="GO1195" s="8"/>
      <c r="GP1195" s="8"/>
      <c r="GQ1195" s="8"/>
      <c r="GR1195" s="8"/>
      <c r="GS1195" s="8"/>
      <c r="GT1195" s="8"/>
      <c r="GU1195" s="8"/>
      <c r="GV1195" s="8"/>
      <c r="GW1195" s="8"/>
      <c r="GX1195" s="8"/>
      <c r="GY1195" s="8"/>
      <c r="GZ1195" s="8"/>
      <c r="HA1195" s="8"/>
      <c r="HB1195" s="8"/>
      <c r="HC1195" s="8"/>
      <c r="HD1195" s="8"/>
      <c r="HE1195" s="8"/>
      <c r="HF1195" s="8"/>
      <c r="HG1195" s="8"/>
      <c r="HH1195" s="8"/>
      <c r="HI1195" s="8"/>
      <c r="HJ1195" s="8"/>
      <c r="HK1195" s="8"/>
      <c r="HL1195" s="8"/>
      <c r="HM1195" s="8"/>
      <c r="HN1195" s="8"/>
      <c r="HO1195" s="8"/>
      <c r="HP1195" s="8"/>
      <c r="HQ1195" s="8"/>
      <c r="HR1195" s="8"/>
      <c r="HS1195" s="8"/>
      <c r="HT1195" s="8"/>
      <c r="HU1195" s="8"/>
      <c r="HV1195" s="8"/>
      <c r="HW1195" s="8"/>
      <c r="HX1195" s="8"/>
      <c r="HY1195" s="8"/>
      <c r="HZ1195" s="8"/>
      <c r="IA1195" s="8"/>
      <c r="IB1195" s="8"/>
      <c r="IC1195" s="8"/>
      <c r="ID1195" s="8"/>
      <c r="IE1195" s="8"/>
      <c r="IF1195" s="8"/>
    </row>
    <row r="1196" spans="1:240" ht="30" customHeight="1">
      <c r="A1196" s="5">
        <v>1194</v>
      </c>
      <c r="B1196" s="5"/>
      <c r="C1196" s="5"/>
      <c r="D1196" s="5" t="s">
        <v>68</v>
      </c>
      <c r="E1196" s="5" t="s">
        <v>48</v>
      </c>
      <c r="F1196" s="5" t="s">
        <v>48</v>
      </c>
      <c r="G1196" s="5" t="s">
        <v>48</v>
      </c>
      <c r="H1196" s="15">
        <f>6910*0.454</f>
        <v>3137.1400000000003</v>
      </c>
      <c r="I1196" s="5" t="s">
        <v>13</v>
      </c>
      <c r="J1196" s="15">
        <f>610/4.4</f>
        <v>138.63636363636363</v>
      </c>
      <c r="K1196" s="15">
        <f t="shared" si="35"/>
        <v>5.5560000000000009</v>
      </c>
      <c r="L1196" s="24">
        <v>889.93764747076909</v>
      </c>
      <c r="M1196" s="5">
        <f t="shared" si="34"/>
        <v>3.8800000000000026</v>
      </c>
      <c r="N1196" s="5"/>
      <c r="O1196" s="15">
        <f>40600*1.6978</f>
        <v>68930.679999999993</v>
      </c>
      <c r="P1196" s="5"/>
      <c r="Q1196" s="5"/>
      <c r="R1196" s="5">
        <v>6</v>
      </c>
      <c r="S1196" s="5"/>
      <c r="T1196" s="5"/>
      <c r="U1196" s="5"/>
      <c r="V1196" s="15">
        <f>25*0.7457</f>
        <v>18.642500000000002</v>
      </c>
      <c r="W1196" s="5"/>
      <c r="X1196" s="5"/>
      <c r="Y1196" s="5" t="s">
        <v>48</v>
      </c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16" t="s">
        <v>48</v>
      </c>
      <c r="AN1196" s="5"/>
      <c r="AO1196" s="8"/>
      <c r="AP1196" s="8"/>
      <c r="AQ1196" s="8"/>
      <c r="AR1196" s="8"/>
      <c r="AS1196" s="8"/>
      <c r="AT1196" s="8"/>
      <c r="AU1196" s="8"/>
      <c r="AV1196" s="8"/>
      <c r="AW1196" s="8"/>
      <c r="AX1196" s="8"/>
      <c r="AY1196" s="8"/>
      <c r="AZ1196" s="8"/>
      <c r="BA1196" s="8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8"/>
      <c r="BS1196" s="8"/>
      <c r="BT1196" s="8"/>
      <c r="BU1196" s="8"/>
      <c r="BV1196" s="8"/>
      <c r="BW1196" s="8"/>
      <c r="BX1196" s="8"/>
      <c r="BY1196" s="8"/>
      <c r="BZ1196" s="8"/>
      <c r="CA1196" s="8"/>
      <c r="CB1196" s="8"/>
      <c r="CC1196" s="8"/>
      <c r="CD1196" s="8"/>
      <c r="CE1196" s="8"/>
      <c r="CF1196" s="8"/>
      <c r="CG1196" s="8"/>
      <c r="CH1196" s="8"/>
      <c r="CI1196" s="8"/>
      <c r="CJ1196" s="8"/>
      <c r="CK1196" s="8"/>
      <c r="CL1196" s="8"/>
      <c r="CM1196" s="8"/>
      <c r="CN1196" s="8"/>
      <c r="CO1196" s="8"/>
      <c r="CP1196" s="8"/>
      <c r="CQ1196" s="8"/>
      <c r="CR1196" s="8"/>
      <c r="CS1196" s="8"/>
      <c r="CT1196" s="8"/>
      <c r="CU1196" s="8"/>
      <c r="CV1196" s="8"/>
      <c r="CW1196" s="8"/>
      <c r="CX1196" s="8"/>
      <c r="CY1196" s="8"/>
      <c r="CZ1196" s="8"/>
      <c r="DA1196" s="8"/>
      <c r="DB1196" s="8"/>
      <c r="DC1196" s="8"/>
      <c r="DD1196" s="8"/>
      <c r="DE1196" s="8"/>
      <c r="DF1196" s="8"/>
      <c r="DG1196" s="8"/>
      <c r="DH1196" s="8"/>
      <c r="DI1196" s="8"/>
      <c r="DJ1196" s="8"/>
      <c r="DK1196" s="8"/>
      <c r="DL1196" s="8"/>
      <c r="DM1196" s="8"/>
      <c r="DN1196" s="8"/>
      <c r="DO1196" s="8"/>
      <c r="DP1196" s="8"/>
      <c r="DQ1196" s="8"/>
      <c r="DR1196" s="8"/>
      <c r="DS1196" s="8"/>
      <c r="DT1196" s="8"/>
      <c r="DU1196" s="8"/>
      <c r="DV1196" s="8"/>
      <c r="DW1196" s="8"/>
      <c r="DX1196" s="8"/>
      <c r="DY1196" s="8"/>
      <c r="DZ1196" s="8"/>
      <c r="EA1196" s="8"/>
      <c r="EB1196" s="8"/>
      <c r="EC1196" s="8"/>
      <c r="ED1196" s="8"/>
      <c r="EE1196" s="8"/>
      <c r="EF1196" s="8"/>
      <c r="EG1196" s="8"/>
      <c r="EH1196" s="8"/>
      <c r="EI1196" s="8"/>
      <c r="EJ1196" s="8"/>
      <c r="EK1196" s="8"/>
      <c r="EL1196" s="8"/>
      <c r="EM1196" s="8"/>
      <c r="EN1196" s="8"/>
      <c r="EO1196" s="8"/>
      <c r="EP1196" s="8"/>
      <c r="EQ1196" s="8"/>
      <c r="ER1196" s="8"/>
      <c r="ES1196" s="8"/>
      <c r="ET1196" s="8"/>
      <c r="EU1196" s="8"/>
      <c r="EV1196" s="8"/>
      <c r="EW1196" s="8"/>
      <c r="EX1196" s="8"/>
      <c r="EY1196" s="8"/>
      <c r="EZ1196" s="8"/>
      <c r="FA1196" s="8"/>
      <c r="FB1196" s="8"/>
      <c r="FC1196" s="8"/>
      <c r="FD1196" s="8"/>
      <c r="FE1196" s="8"/>
      <c r="FF1196" s="8"/>
      <c r="FG1196" s="8"/>
      <c r="FH1196" s="8"/>
      <c r="FI1196" s="8"/>
      <c r="FJ1196" s="8"/>
      <c r="FK1196" s="8"/>
      <c r="FL1196" s="8"/>
      <c r="FM1196" s="8"/>
      <c r="FN1196" s="8"/>
      <c r="FO1196" s="8"/>
      <c r="FP1196" s="8"/>
      <c r="FQ1196" s="8"/>
      <c r="FR1196" s="8"/>
      <c r="FS1196" s="8"/>
      <c r="FT1196" s="8"/>
      <c r="FU1196" s="8"/>
      <c r="FV1196" s="8"/>
      <c r="FW1196" s="8"/>
      <c r="FX1196" s="8"/>
      <c r="FY1196" s="8"/>
      <c r="FZ1196" s="8"/>
      <c r="GA1196" s="8"/>
      <c r="GB1196" s="8"/>
      <c r="GC1196" s="8"/>
      <c r="GD1196" s="8"/>
      <c r="GE1196" s="8"/>
      <c r="GF1196" s="8"/>
      <c r="GG1196" s="8"/>
      <c r="GH1196" s="8"/>
      <c r="GI1196" s="8"/>
      <c r="GJ1196" s="8"/>
      <c r="GK1196" s="8"/>
      <c r="GL1196" s="8"/>
      <c r="GM1196" s="8"/>
      <c r="GN1196" s="8"/>
      <c r="GO1196" s="8"/>
      <c r="GP1196" s="8"/>
      <c r="GQ1196" s="8"/>
      <c r="GR1196" s="8"/>
      <c r="GS1196" s="8"/>
      <c r="GT1196" s="8"/>
      <c r="GU1196" s="8"/>
      <c r="GV1196" s="8"/>
      <c r="GW1196" s="8"/>
      <c r="GX1196" s="8"/>
      <c r="GY1196" s="8"/>
      <c r="GZ1196" s="8"/>
      <c r="HA1196" s="8"/>
      <c r="HB1196" s="8"/>
      <c r="HC1196" s="8"/>
      <c r="HD1196" s="8"/>
      <c r="HE1196" s="8"/>
      <c r="HF1196" s="8"/>
      <c r="HG1196" s="8"/>
      <c r="HH1196" s="8"/>
      <c r="HI1196" s="8"/>
      <c r="HJ1196" s="8"/>
      <c r="HK1196" s="8"/>
      <c r="HL1196" s="8"/>
      <c r="HM1196" s="8"/>
      <c r="HN1196" s="8"/>
      <c r="HO1196" s="8"/>
      <c r="HP1196" s="8"/>
      <c r="HQ1196" s="8"/>
      <c r="HR1196" s="8"/>
      <c r="HS1196" s="8"/>
      <c r="HT1196" s="8"/>
      <c r="HU1196" s="8"/>
      <c r="HV1196" s="8"/>
      <c r="HW1196" s="8"/>
      <c r="HX1196" s="8"/>
      <c r="HY1196" s="8"/>
      <c r="HZ1196" s="8"/>
      <c r="IA1196" s="8"/>
      <c r="IB1196" s="8"/>
      <c r="IC1196" s="8"/>
      <c r="ID1196" s="8"/>
      <c r="IE1196" s="8"/>
      <c r="IF1196" s="8"/>
    </row>
    <row r="1197" spans="1:240" ht="30" customHeight="1">
      <c r="A1197" s="5">
        <v>1195</v>
      </c>
      <c r="B1197" s="5"/>
      <c r="C1197" s="5"/>
      <c r="D1197" s="5" t="s">
        <v>68</v>
      </c>
      <c r="E1197" s="5" t="s">
        <v>48</v>
      </c>
      <c r="F1197" s="5" t="s">
        <v>48</v>
      </c>
      <c r="G1197" s="5" t="s">
        <v>48</v>
      </c>
      <c r="H1197" s="15">
        <f>6960*0.454</f>
        <v>3159.84</v>
      </c>
      <c r="I1197" s="5" t="s">
        <v>13</v>
      </c>
      <c r="J1197" s="15">
        <f>646/4.4</f>
        <v>146.81818181818181</v>
      </c>
      <c r="K1197" s="15">
        <f t="shared" si="35"/>
        <v>5.5560000000000009</v>
      </c>
      <c r="L1197" s="24">
        <v>942.45855781330613</v>
      </c>
      <c r="M1197" s="5">
        <f t="shared" si="34"/>
        <v>3.8800000000000026</v>
      </c>
      <c r="N1197" s="5"/>
      <c r="O1197" s="15">
        <f>42900*1.6978</f>
        <v>72835.62</v>
      </c>
      <c r="P1197" s="5"/>
      <c r="Q1197" s="5"/>
      <c r="R1197" s="5">
        <v>6</v>
      </c>
      <c r="S1197" s="5"/>
      <c r="T1197" s="5"/>
      <c r="U1197" s="5"/>
      <c r="V1197" s="15">
        <f>30*0.7457</f>
        <v>22.371000000000002</v>
      </c>
      <c r="W1197" s="5"/>
      <c r="X1197" s="5"/>
      <c r="Y1197" s="5" t="s">
        <v>48</v>
      </c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16" t="s">
        <v>48</v>
      </c>
      <c r="AN1197" s="5"/>
      <c r="AO1197" s="8"/>
      <c r="AP1197" s="8"/>
      <c r="AQ1197" s="8"/>
      <c r="AR1197" s="8"/>
      <c r="AS1197" s="8"/>
      <c r="AT1197" s="8"/>
      <c r="AU1197" s="8"/>
      <c r="AV1197" s="8"/>
      <c r="AW1197" s="8"/>
      <c r="AX1197" s="8"/>
      <c r="AY1197" s="8"/>
      <c r="AZ1197" s="8"/>
      <c r="BA1197" s="8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8"/>
      <c r="BS1197" s="8"/>
      <c r="BT1197" s="8"/>
      <c r="BU1197" s="8"/>
      <c r="BV1197" s="8"/>
      <c r="BW1197" s="8"/>
      <c r="BX1197" s="8"/>
      <c r="BY1197" s="8"/>
      <c r="BZ1197" s="8"/>
      <c r="CA1197" s="8"/>
      <c r="CB1197" s="8"/>
      <c r="CC1197" s="8"/>
      <c r="CD1197" s="8"/>
      <c r="CE1197" s="8"/>
      <c r="CF1197" s="8"/>
      <c r="CG1197" s="8"/>
      <c r="CH1197" s="8"/>
      <c r="CI1197" s="8"/>
      <c r="CJ1197" s="8"/>
      <c r="CK1197" s="8"/>
      <c r="CL1197" s="8"/>
      <c r="CM1197" s="8"/>
      <c r="CN1197" s="8"/>
      <c r="CO1197" s="8"/>
      <c r="CP1197" s="8"/>
      <c r="CQ1197" s="8"/>
      <c r="CR1197" s="8"/>
      <c r="CS1197" s="8"/>
      <c r="CT1197" s="8"/>
      <c r="CU1197" s="8"/>
      <c r="CV1197" s="8"/>
      <c r="CW1197" s="8"/>
      <c r="CX1197" s="8"/>
      <c r="CY1197" s="8"/>
      <c r="CZ1197" s="8"/>
      <c r="DA1197" s="8"/>
      <c r="DB1197" s="8"/>
      <c r="DC1197" s="8"/>
      <c r="DD1197" s="8"/>
      <c r="DE1197" s="8"/>
      <c r="DF1197" s="8"/>
      <c r="DG1197" s="8"/>
      <c r="DH1197" s="8"/>
      <c r="DI1197" s="8"/>
      <c r="DJ1197" s="8"/>
      <c r="DK1197" s="8"/>
      <c r="DL1197" s="8"/>
      <c r="DM1197" s="8"/>
      <c r="DN1197" s="8"/>
      <c r="DO1197" s="8"/>
      <c r="DP1197" s="8"/>
      <c r="DQ1197" s="8"/>
      <c r="DR1197" s="8"/>
      <c r="DS1197" s="8"/>
      <c r="DT1197" s="8"/>
      <c r="DU1197" s="8"/>
      <c r="DV1197" s="8"/>
      <c r="DW1197" s="8"/>
      <c r="DX1197" s="8"/>
      <c r="DY1197" s="8"/>
      <c r="DZ1197" s="8"/>
      <c r="EA1197" s="8"/>
      <c r="EB1197" s="8"/>
      <c r="EC1197" s="8"/>
      <c r="ED1197" s="8"/>
      <c r="EE1197" s="8"/>
      <c r="EF1197" s="8"/>
      <c r="EG1197" s="8"/>
      <c r="EH1197" s="8"/>
      <c r="EI1197" s="8"/>
      <c r="EJ1197" s="8"/>
      <c r="EK1197" s="8"/>
      <c r="EL1197" s="8"/>
      <c r="EM1197" s="8"/>
      <c r="EN1197" s="8"/>
      <c r="EO1197" s="8"/>
      <c r="EP1197" s="8"/>
      <c r="EQ1197" s="8"/>
      <c r="ER1197" s="8"/>
      <c r="ES1197" s="8"/>
      <c r="ET1197" s="8"/>
      <c r="EU1197" s="8"/>
      <c r="EV1197" s="8"/>
      <c r="EW1197" s="8"/>
      <c r="EX1197" s="8"/>
      <c r="EY1197" s="8"/>
      <c r="EZ1197" s="8"/>
      <c r="FA1197" s="8"/>
      <c r="FB1197" s="8"/>
      <c r="FC1197" s="8"/>
      <c r="FD1197" s="8"/>
      <c r="FE1197" s="8"/>
      <c r="FF1197" s="8"/>
      <c r="FG1197" s="8"/>
      <c r="FH1197" s="8"/>
      <c r="FI1197" s="8"/>
      <c r="FJ1197" s="8"/>
      <c r="FK1197" s="8"/>
      <c r="FL1197" s="8"/>
      <c r="FM1197" s="8"/>
      <c r="FN1197" s="8"/>
      <c r="FO1197" s="8"/>
      <c r="FP1197" s="8"/>
      <c r="FQ1197" s="8"/>
      <c r="FR1197" s="8"/>
      <c r="FS1197" s="8"/>
      <c r="FT1197" s="8"/>
      <c r="FU1197" s="8"/>
      <c r="FV1197" s="8"/>
      <c r="FW1197" s="8"/>
      <c r="FX1197" s="8"/>
      <c r="FY1197" s="8"/>
      <c r="FZ1197" s="8"/>
      <c r="GA1197" s="8"/>
      <c r="GB1197" s="8"/>
      <c r="GC1197" s="8"/>
      <c r="GD1197" s="8"/>
      <c r="GE1197" s="8"/>
      <c r="GF1197" s="8"/>
      <c r="GG1197" s="8"/>
      <c r="GH1197" s="8"/>
      <c r="GI1197" s="8"/>
      <c r="GJ1197" s="8"/>
      <c r="GK1197" s="8"/>
      <c r="GL1197" s="8"/>
      <c r="GM1197" s="8"/>
      <c r="GN1197" s="8"/>
      <c r="GO1197" s="8"/>
      <c r="GP1197" s="8"/>
      <c r="GQ1197" s="8"/>
      <c r="GR1197" s="8"/>
      <c r="GS1197" s="8"/>
      <c r="GT1197" s="8"/>
      <c r="GU1197" s="8"/>
      <c r="GV1197" s="8"/>
      <c r="GW1197" s="8"/>
      <c r="GX1197" s="8"/>
      <c r="GY1197" s="8"/>
      <c r="GZ1197" s="8"/>
      <c r="HA1197" s="8"/>
      <c r="HB1197" s="8"/>
      <c r="HC1197" s="8"/>
      <c r="HD1197" s="8"/>
      <c r="HE1197" s="8"/>
      <c r="HF1197" s="8"/>
      <c r="HG1197" s="8"/>
      <c r="HH1197" s="8"/>
      <c r="HI1197" s="8"/>
      <c r="HJ1197" s="8"/>
      <c r="HK1197" s="8"/>
      <c r="HL1197" s="8"/>
      <c r="HM1197" s="8"/>
      <c r="HN1197" s="8"/>
      <c r="HO1197" s="8"/>
      <c r="HP1197" s="8"/>
      <c r="HQ1197" s="8"/>
      <c r="HR1197" s="8"/>
      <c r="HS1197" s="8"/>
      <c r="HT1197" s="8"/>
      <c r="HU1197" s="8"/>
      <c r="HV1197" s="8"/>
      <c r="HW1197" s="8"/>
      <c r="HX1197" s="8"/>
      <c r="HY1197" s="8"/>
      <c r="HZ1197" s="8"/>
      <c r="IA1197" s="8"/>
      <c r="IB1197" s="8"/>
      <c r="IC1197" s="8"/>
      <c r="ID1197" s="8"/>
      <c r="IE1197" s="8"/>
      <c r="IF1197" s="8"/>
    </row>
    <row r="1198" spans="1:240" ht="30" customHeight="1">
      <c r="A1198" s="5">
        <v>1196</v>
      </c>
      <c r="B1198" s="5"/>
      <c r="C1198" s="5"/>
      <c r="D1198" s="5" t="s">
        <v>68</v>
      </c>
      <c r="E1198" s="5" t="s">
        <v>48</v>
      </c>
      <c r="F1198" s="5" t="s">
        <v>48</v>
      </c>
      <c r="G1198" s="5" t="s">
        <v>48</v>
      </c>
      <c r="H1198" s="15">
        <f>6250*0.454</f>
        <v>2837.5</v>
      </c>
      <c r="I1198" s="5" t="s">
        <v>13</v>
      </c>
      <c r="J1198" s="15">
        <f>470/4.4</f>
        <v>106.81818181818181</v>
      </c>
      <c r="K1198" s="15">
        <f t="shared" si="35"/>
        <v>5.5560000000000009</v>
      </c>
      <c r="L1198" s="24">
        <v>685.68966280534676</v>
      </c>
      <c r="M1198" s="5">
        <f t="shared" si="34"/>
        <v>3.8800000000000026</v>
      </c>
      <c r="N1198" s="5"/>
      <c r="O1198" s="15">
        <f>38700*1.6978</f>
        <v>65704.86</v>
      </c>
      <c r="P1198" s="5"/>
      <c r="Q1198" s="5"/>
      <c r="R1198" s="5">
        <v>4</v>
      </c>
      <c r="S1198" s="5"/>
      <c r="T1198" s="5"/>
      <c r="U1198" s="5"/>
      <c r="V1198" s="15">
        <f>20*0.7457</f>
        <v>14.914000000000001</v>
      </c>
      <c r="W1198" s="5"/>
      <c r="X1198" s="5"/>
      <c r="Y1198" s="5" t="s">
        <v>48</v>
      </c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16" t="s">
        <v>48</v>
      </c>
      <c r="AN1198" s="5"/>
      <c r="AO1198" s="8"/>
      <c r="AP1198" s="8"/>
      <c r="AQ1198" s="8"/>
      <c r="AR1198" s="8"/>
      <c r="AS1198" s="8"/>
      <c r="AT1198" s="8"/>
      <c r="AU1198" s="8"/>
      <c r="AV1198" s="8"/>
      <c r="AW1198" s="8"/>
      <c r="AX1198" s="8"/>
      <c r="AY1198" s="8"/>
      <c r="AZ1198" s="8"/>
      <c r="BA1198" s="8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8"/>
      <c r="BS1198" s="8"/>
      <c r="BT1198" s="8"/>
      <c r="BU1198" s="8"/>
      <c r="BV1198" s="8"/>
      <c r="BW1198" s="8"/>
      <c r="BX1198" s="8"/>
      <c r="BY1198" s="8"/>
      <c r="BZ1198" s="8"/>
      <c r="CA1198" s="8"/>
      <c r="CB1198" s="8"/>
      <c r="CC1198" s="8"/>
      <c r="CD1198" s="8"/>
      <c r="CE1198" s="8"/>
      <c r="CF1198" s="8"/>
      <c r="CG1198" s="8"/>
      <c r="CH1198" s="8"/>
      <c r="CI1198" s="8"/>
      <c r="CJ1198" s="8"/>
      <c r="CK1198" s="8"/>
      <c r="CL1198" s="8"/>
      <c r="CM1198" s="8"/>
      <c r="CN1198" s="8"/>
      <c r="CO1198" s="8"/>
      <c r="CP1198" s="8"/>
      <c r="CQ1198" s="8"/>
      <c r="CR1198" s="8"/>
      <c r="CS1198" s="8"/>
      <c r="CT1198" s="8"/>
      <c r="CU1198" s="8"/>
      <c r="CV1198" s="8"/>
      <c r="CW1198" s="8"/>
      <c r="CX1198" s="8"/>
      <c r="CY1198" s="8"/>
      <c r="CZ1198" s="8"/>
      <c r="DA1198" s="8"/>
      <c r="DB1198" s="8"/>
      <c r="DC1198" s="8"/>
      <c r="DD1198" s="8"/>
      <c r="DE1198" s="8"/>
      <c r="DF1198" s="8"/>
      <c r="DG1198" s="8"/>
      <c r="DH1198" s="8"/>
      <c r="DI1198" s="8"/>
      <c r="DJ1198" s="8"/>
      <c r="DK1198" s="8"/>
      <c r="DL1198" s="8"/>
      <c r="DM1198" s="8"/>
      <c r="DN1198" s="8"/>
      <c r="DO1198" s="8"/>
      <c r="DP1198" s="8"/>
      <c r="DQ1198" s="8"/>
      <c r="DR1198" s="8"/>
      <c r="DS1198" s="8"/>
      <c r="DT1198" s="8"/>
      <c r="DU1198" s="8"/>
      <c r="DV1198" s="8"/>
      <c r="DW1198" s="8"/>
      <c r="DX1198" s="8"/>
      <c r="DY1198" s="8"/>
      <c r="DZ1198" s="8"/>
      <c r="EA1198" s="8"/>
      <c r="EB1198" s="8"/>
      <c r="EC1198" s="8"/>
      <c r="ED1198" s="8"/>
      <c r="EE1198" s="8"/>
      <c r="EF1198" s="8"/>
      <c r="EG1198" s="8"/>
      <c r="EH1198" s="8"/>
      <c r="EI1198" s="8"/>
      <c r="EJ1198" s="8"/>
      <c r="EK1198" s="8"/>
      <c r="EL1198" s="8"/>
      <c r="EM1198" s="8"/>
      <c r="EN1198" s="8"/>
      <c r="EO1198" s="8"/>
      <c r="EP1198" s="8"/>
      <c r="EQ1198" s="8"/>
      <c r="ER1198" s="8"/>
      <c r="ES1198" s="8"/>
      <c r="ET1198" s="8"/>
      <c r="EU1198" s="8"/>
      <c r="EV1198" s="8"/>
      <c r="EW1198" s="8"/>
      <c r="EX1198" s="8"/>
      <c r="EY1198" s="8"/>
      <c r="EZ1198" s="8"/>
      <c r="FA1198" s="8"/>
      <c r="FB1198" s="8"/>
      <c r="FC1198" s="8"/>
      <c r="FD1198" s="8"/>
      <c r="FE1198" s="8"/>
      <c r="FF1198" s="8"/>
      <c r="FG1198" s="8"/>
      <c r="FH1198" s="8"/>
      <c r="FI1198" s="8"/>
      <c r="FJ1198" s="8"/>
      <c r="FK1198" s="8"/>
      <c r="FL1198" s="8"/>
      <c r="FM1198" s="8"/>
      <c r="FN1198" s="8"/>
      <c r="FO1198" s="8"/>
      <c r="FP1198" s="8"/>
      <c r="FQ1198" s="8"/>
      <c r="FR1198" s="8"/>
      <c r="FS1198" s="8"/>
      <c r="FT1198" s="8"/>
      <c r="FU1198" s="8"/>
      <c r="FV1198" s="8"/>
      <c r="FW1198" s="8"/>
      <c r="FX1198" s="8"/>
      <c r="FY1198" s="8"/>
      <c r="FZ1198" s="8"/>
      <c r="GA1198" s="8"/>
      <c r="GB1198" s="8"/>
      <c r="GC1198" s="8"/>
      <c r="GD1198" s="8"/>
      <c r="GE1198" s="8"/>
      <c r="GF1198" s="8"/>
      <c r="GG1198" s="8"/>
      <c r="GH1198" s="8"/>
      <c r="GI1198" s="8"/>
      <c r="GJ1198" s="8"/>
      <c r="GK1198" s="8"/>
      <c r="GL1198" s="8"/>
      <c r="GM1198" s="8"/>
      <c r="GN1198" s="8"/>
      <c r="GO1198" s="8"/>
      <c r="GP1198" s="8"/>
      <c r="GQ1198" s="8"/>
      <c r="GR1198" s="8"/>
      <c r="GS1198" s="8"/>
      <c r="GT1198" s="8"/>
      <c r="GU1198" s="8"/>
      <c r="GV1198" s="8"/>
      <c r="GW1198" s="8"/>
      <c r="GX1198" s="8"/>
      <c r="GY1198" s="8"/>
      <c r="GZ1198" s="8"/>
      <c r="HA1198" s="8"/>
      <c r="HB1198" s="8"/>
      <c r="HC1198" s="8"/>
      <c r="HD1198" s="8"/>
      <c r="HE1198" s="8"/>
      <c r="HF1198" s="8"/>
      <c r="HG1198" s="8"/>
      <c r="HH1198" s="8"/>
      <c r="HI1198" s="8"/>
      <c r="HJ1198" s="8"/>
      <c r="HK1198" s="8"/>
      <c r="HL1198" s="8"/>
      <c r="HM1198" s="8"/>
      <c r="HN1198" s="8"/>
      <c r="HO1198" s="8"/>
      <c r="HP1198" s="8"/>
      <c r="HQ1198" s="8"/>
      <c r="HR1198" s="8"/>
      <c r="HS1198" s="8"/>
      <c r="HT1198" s="8"/>
      <c r="HU1198" s="8"/>
      <c r="HV1198" s="8"/>
      <c r="HW1198" s="8"/>
      <c r="HX1198" s="8"/>
      <c r="HY1198" s="8"/>
      <c r="HZ1198" s="8"/>
      <c r="IA1198" s="8"/>
      <c r="IB1198" s="8"/>
      <c r="IC1198" s="8"/>
      <c r="ID1198" s="8"/>
      <c r="IE1198" s="8"/>
      <c r="IF1198" s="8"/>
    </row>
    <row r="1199" spans="1:240" ht="30" customHeight="1">
      <c r="A1199" s="5">
        <v>1197</v>
      </c>
      <c r="B1199" s="5"/>
      <c r="C1199" s="5"/>
      <c r="D1199" s="5" t="s">
        <v>68</v>
      </c>
      <c r="E1199" s="5" t="s">
        <v>48</v>
      </c>
      <c r="F1199" s="5" t="s">
        <v>48</v>
      </c>
      <c r="G1199" s="5" t="s">
        <v>48</v>
      </c>
      <c r="H1199" s="15">
        <f>6490*0.454</f>
        <v>2946.46</v>
      </c>
      <c r="I1199" s="5" t="s">
        <v>13</v>
      </c>
      <c r="J1199" s="15">
        <f>525/4.4</f>
        <v>119.31818181818181</v>
      </c>
      <c r="K1199" s="15">
        <f t="shared" si="35"/>
        <v>5.5560000000000009</v>
      </c>
      <c r="L1199" s="24">
        <v>765.9299424953341</v>
      </c>
      <c r="M1199" s="5">
        <f t="shared" si="34"/>
        <v>3.8800000000000026</v>
      </c>
      <c r="N1199" s="5"/>
      <c r="O1199" s="15">
        <f>37600*1.6978</f>
        <v>63837.279999999999</v>
      </c>
      <c r="P1199" s="5"/>
      <c r="Q1199" s="5"/>
      <c r="R1199" s="5">
        <v>4</v>
      </c>
      <c r="S1199" s="5"/>
      <c r="T1199" s="5"/>
      <c r="U1199" s="5"/>
      <c r="V1199" s="15">
        <f>20*0.7457</f>
        <v>14.914000000000001</v>
      </c>
      <c r="W1199" s="5"/>
      <c r="X1199" s="5"/>
      <c r="Y1199" s="5" t="s">
        <v>48</v>
      </c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16" t="s">
        <v>48</v>
      </c>
      <c r="AN1199" s="5"/>
      <c r="AO1199" s="8"/>
      <c r="AP1199" s="8"/>
      <c r="AQ1199" s="8"/>
      <c r="AR1199" s="8"/>
      <c r="AS1199" s="8"/>
      <c r="AT1199" s="8"/>
      <c r="AU1199" s="8"/>
      <c r="AV1199" s="8"/>
      <c r="AW1199" s="8"/>
      <c r="AX1199" s="8"/>
      <c r="AY1199" s="8"/>
      <c r="AZ1199" s="8"/>
      <c r="BA1199" s="8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8"/>
      <c r="BS1199" s="8"/>
      <c r="BT1199" s="8"/>
      <c r="BU1199" s="8"/>
      <c r="BV1199" s="8"/>
      <c r="BW1199" s="8"/>
      <c r="BX1199" s="8"/>
      <c r="BY1199" s="8"/>
      <c r="BZ1199" s="8"/>
      <c r="CA1199" s="8"/>
      <c r="CB1199" s="8"/>
      <c r="CC1199" s="8"/>
      <c r="CD1199" s="8"/>
      <c r="CE1199" s="8"/>
      <c r="CF1199" s="8"/>
      <c r="CG1199" s="8"/>
      <c r="CH1199" s="8"/>
      <c r="CI1199" s="8"/>
      <c r="CJ1199" s="8"/>
      <c r="CK1199" s="8"/>
      <c r="CL1199" s="8"/>
      <c r="CM1199" s="8"/>
      <c r="CN1199" s="8"/>
      <c r="CO1199" s="8"/>
      <c r="CP1199" s="8"/>
      <c r="CQ1199" s="8"/>
      <c r="CR1199" s="8"/>
      <c r="CS1199" s="8"/>
      <c r="CT1199" s="8"/>
      <c r="CU1199" s="8"/>
      <c r="CV1199" s="8"/>
      <c r="CW1199" s="8"/>
      <c r="CX1199" s="8"/>
      <c r="CY1199" s="8"/>
      <c r="CZ1199" s="8"/>
      <c r="DA1199" s="8"/>
      <c r="DB1199" s="8"/>
      <c r="DC1199" s="8"/>
      <c r="DD1199" s="8"/>
      <c r="DE1199" s="8"/>
      <c r="DF1199" s="8"/>
      <c r="DG1199" s="8"/>
      <c r="DH1199" s="8"/>
      <c r="DI1199" s="8"/>
      <c r="DJ1199" s="8"/>
      <c r="DK1199" s="8"/>
      <c r="DL1199" s="8"/>
      <c r="DM1199" s="8"/>
      <c r="DN1199" s="8"/>
      <c r="DO1199" s="8"/>
      <c r="DP1199" s="8"/>
      <c r="DQ1199" s="8"/>
      <c r="DR1199" s="8"/>
      <c r="DS1199" s="8"/>
      <c r="DT1199" s="8"/>
      <c r="DU1199" s="8"/>
      <c r="DV1199" s="8"/>
      <c r="DW1199" s="8"/>
      <c r="DX1199" s="8"/>
      <c r="DY1199" s="8"/>
      <c r="DZ1199" s="8"/>
      <c r="EA1199" s="8"/>
      <c r="EB1199" s="8"/>
      <c r="EC1199" s="8"/>
      <c r="ED1199" s="8"/>
      <c r="EE1199" s="8"/>
      <c r="EF1199" s="8"/>
      <c r="EG1199" s="8"/>
      <c r="EH1199" s="8"/>
      <c r="EI1199" s="8"/>
      <c r="EJ1199" s="8"/>
      <c r="EK1199" s="8"/>
      <c r="EL1199" s="8"/>
      <c r="EM1199" s="8"/>
      <c r="EN1199" s="8"/>
      <c r="EO1199" s="8"/>
      <c r="EP1199" s="8"/>
      <c r="EQ1199" s="8"/>
      <c r="ER1199" s="8"/>
      <c r="ES1199" s="8"/>
      <c r="ET1199" s="8"/>
      <c r="EU1199" s="8"/>
      <c r="EV1199" s="8"/>
      <c r="EW1199" s="8"/>
      <c r="EX1199" s="8"/>
      <c r="EY1199" s="8"/>
      <c r="EZ1199" s="8"/>
      <c r="FA1199" s="8"/>
      <c r="FB1199" s="8"/>
      <c r="FC1199" s="8"/>
      <c r="FD1199" s="8"/>
      <c r="FE1199" s="8"/>
      <c r="FF1199" s="8"/>
      <c r="FG1199" s="8"/>
      <c r="FH1199" s="8"/>
      <c r="FI1199" s="8"/>
      <c r="FJ1199" s="8"/>
      <c r="FK1199" s="8"/>
      <c r="FL1199" s="8"/>
      <c r="FM1199" s="8"/>
      <c r="FN1199" s="8"/>
      <c r="FO1199" s="8"/>
      <c r="FP1199" s="8"/>
      <c r="FQ1199" s="8"/>
      <c r="FR1199" s="8"/>
      <c r="FS1199" s="8"/>
      <c r="FT1199" s="8"/>
      <c r="FU1199" s="8"/>
      <c r="FV1199" s="8"/>
      <c r="FW1199" s="8"/>
      <c r="FX1199" s="8"/>
      <c r="FY1199" s="8"/>
      <c r="FZ1199" s="8"/>
      <c r="GA1199" s="8"/>
      <c r="GB1199" s="8"/>
      <c r="GC1199" s="8"/>
      <c r="GD1199" s="8"/>
      <c r="GE1199" s="8"/>
      <c r="GF1199" s="8"/>
      <c r="GG1199" s="8"/>
      <c r="GH1199" s="8"/>
      <c r="GI1199" s="8"/>
      <c r="GJ1199" s="8"/>
      <c r="GK1199" s="8"/>
      <c r="GL1199" s="8"/>
      <c r="GM1199" s="8"/>
      <c r="GN1199" s="8"/>
      <c r="GO1199" s="8"/>
      <c r="GP1199" s="8"/>
      <c r="GQ1199" s="8"/>
      <c r="GR1199" s="8"/>
      <c r="GS1199" s="8"/>
      <c r="GT1199" s="8"/>
      <c r="GU1199" s="8"/>
      <c r="GV1199" s="8"/>
      <c r="GW1199" s="8"/>
      <c r="GX1199" s="8"/>
      <c r="GY1199" s="8"/>
      <c r="GZ1199" s="8"/>
      <c r="HA1199" s="8"/>
      <c r="HB1199" s="8"/>
      <c r="HC1199" s="8"/>
      <c r="HD1199" s="8"/>
      <c r="HE1199" s="8"/>
      <c r="HF1199" s="8"/>
      <c r="HG1199" s="8"/>
      <c r="HH1199" s="8"/>
      <c r="HI1199" s="8"/>
      <c r="HJ1199" s="8"/>
      <c r="HK1199" s="8"/>
      <c r="HL1199" s="8"/>
      <c r="HM1199" s="8"/>
      <c r="HN1199" s="8"/>
      <c r="HO1199" s="8"/>
      <c r="HP1199" s="8"/>
      <c r="HQ1199" s="8"/>
      <c r="HR1199" s="8"/>
      <c r="HS1199" s="8"/>
      <c r="HT1199" s="8"/>
      <c r="HU1199" s="8"/>
      <c r="HV1199" s="8"/>
      <c r="HW1199" s="8"/>
      <c r="HX1199" s="8"/>
      <c r="HY1199" s="8"/>
      <c r="HZ1199" s="8"/>
      <c r="IA1199" s="8"/>
      <c r="IB1199" s="8"/>
      <c r="IC1199" s="8"/>
      <c r="ID1199" s="8"/>
      <c r="IE1199" s="8"/>
      <c r="IF1199" s="8"/>
    </row>
    <row r="1200" spans="1:240" ht="30" customHeight="1">
      <c r="A1200" s="5">
        <v>1198</v>
      </c>
      <c r="B1200" s="5"/>
      <c r="C1200" s="5"/>
      <c r="D1200" s="5" t="s">
        <v>68</v>
      </c>
      <c r="E1200" s="5" t="s">
        <v>48</v>
      </c>
      <c r="F1200" s="5" t="s">
        <v>48</v>
      </c>
      <c r="G1200" s="5" t="s">
        <v>48</v>
      </c>
      <c r="H1200" s="15">
        <f>6520*0.454</f>
        <v>2960.08</v>
      </c>
      <c r="I1200" s="5" t="s">
        <v>13</v>
      </c>
      <c r="J1200" s="15">
        <f>564/4.4</f>
        <v>128.18181818181816</v>
      </c>
      <c r="K1200" s="15">
        <f t="shared" si="35"/>
        <v>5.5560000000000009</v>
      </c>
      <c r="L1200" s="24">
        <v>822.82759536641606</v>
      </c>
      <c r="M1200" s="5">
        <f t="shared" si="34"/>
        <v>3.8800000000000026</v>
      </c>
      <c r="N1200" s="5"/>
      <c r="O1200" s="15">
        <f>40400*1.6978</f>
        <v>68591.12</v>
      </c>
      <c r="P1200" s="5"/>
      <c r="Q1200" s="5"/>
      <c r="R1200" s="5">
        <v>4</v>
      </c>
      <c r="S1200" s="5"/>
      <c r="T1200" s="5"/>
      <c r="U1200" s="5"/>
      <c r="V1200" s="15">
        <f>25*0.7457</f>
        <v>18.642500000000002</v>
      </c>
      <c r="W1200" s="5"/>
      <c r="X1200" s="5"/>
      <c r="Y1200" s="5" t="s">
        <v>48</v>
      </c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16" t="s">
        <v>48</v>
      </c>
      <c r="AN1200" s="5"/>
      <c r="AO1200" s="8"/>
      <c r="AP1200" s="8"/>
      <c r="AQ1200" s="8"/>
      <c r="AR1200" s="8"/>
      <c r="AS1200" s="8"/>
      <c r="AT1200" s="8"/>
      <c r="AU1200" s="8"/>
      <c r="AV1200" s="8"/>
      <c r="AW1200" s="8"/>
      <c r="AX1200" s="8"/>
      <c r="AY1200" s="8"/>
      <c r="AZ1200" s="8"/>
      <c r="BA1200" s="8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8"/>
      <c r="BS1200" s="8"/>
      <c r="BT1200" s="8"/>
      <c r="BU1200" s="8"/>
      <c r="BV1200" s="8"/>
      <c r="BW1200" s="8"/>
      <c r="BX1200" s="8"/>
      <c r="BY1200" s="8"/>
      <c r="BZ1200" s="8"/>
      <c r="CA1200" s="8"/>
      <c r="CB1200" s="8"/>
      <c r="CC1200" s="8"/>
      <c r="CD1200" s="8"/>
      <c r="CE1200" s="8"/>
      <c r="CF1200" s="8"/>
      <c r="CG1200" s="8"/>
      <c r="CH1200" s="8"/>
      <c r="CI1200" s="8"/>
      <c r="CJ1200" s="8"/>
      <c r="CK1200" s="8"/>
      <c r="CL1200" s="8"/>
      <c r="CM1200" s="8"/>
      <c r="CN1200" s="8"/>
      <c r="CO1200" s="8"/>
      <c r="CP1200" s="8"/>
      <c r="CQ1200" s="8"/>
      <c r="CR1200" s="8"/>
      <c r="CS1200" s="8"/>
      <c r="CT1200" s="8"/>
      <c r="CU1200" s="8"/>
      <c r="CV1200" s="8"/>
      <c r="CW1200" s="8"/>
      <c r="CX1200" s="8"/>
      <c r="CY1200" s="8"/>
      <c r="CZ1200" s="8"/>
      <c r="DA1200" s="8"/>
      <c r="DB1200" s="8"/>
      <c r="DC1200" s="8"/>
      <c r="DD1200" s="8"/>
      <c r="DE1200" s="8"/>
      <c r="DF1200" s="8"/>
      <c r="DG1200" s="8"/>
      <c r="DH1200" s="8"/>
      <c r="DI1200" s="8"/>
      <c r="DJ1200" s="8"/>
      <c r="DK1200" s="8"/>
      <c r="DL1200" s="8"/>
      <c r="DM1200" s="8"/>
      <c r="DN1200" s="8"/>
      <c r="DO1200" s="8"/>
      <c r="DP1200" s="8"/>
      <c r="DQ1200" s="8"/>
      <c r="DR1200" s="8"/>
      <c r="DS1200" s="8"/>
      <c r="DT1200" s="8"/>
      <c r="DU1200" s="8"/>
      <c r="DV1200" s="8"/>
      <c r="DW1200" s="8"/>
      <c r="DX1200" s="8"/>
      <c r="DY1200" s="8"/>
      <c r="DZ1200" s="8"/>
      <c r="EA1200" s="8"/>
      <c r="EB1200" s="8"/>
      <c r="EC1200" s="8"/>
      <c r="ED1200" s="8"/>
      <c r="EE1200" s="8"/>
      <c r="EF1200" s="8"/>
      <c r="EG1200" s="8"/>
      <c r="EH1200" s="8"/>
      <c r="EI1200" s="8"/>
      <c r="EJ1200" s="8"/>
      <c r="EK1200" s="8"/>
      <c r="EL1200" s="8"/>
      <c r="EM1200" s="8"/>
      <c r="EN1200" s="8"/>
      <c r="EO1200" s="8"/>
      <c r="EP1200" s="8"/>
      <c r="EQ1200" s="8"/>
      <c r="ER1200" s="8"/>
      <c r="ES1200" s="8"/>
      <c r="ET1200" s="8"/>
      <c r="EU1200" s="8"/>
      <c r="EV1200" s="8"/>
      <c r="EW1200" s="8"/>
      <c r="EX1200" s="8"/>
      <c r="EY1200" s="8"/>
      <c r="EZ1200" s="8"/>
      <c r="FA1200" s="8"/>
      <c r="FB1200" s="8"/>
      <c r="FC1200" s="8"/>
      <c r="FD1200" s="8"/>
      <c r="FE1200" s="8"/>
      <c r="FF1200" s="8"/>
      <c r="FG1200" s="8"/>
      <c r="FH1200" s="8"/>
      <c r="FI1200" s="8"/>
      <c r="FJ1200" s="8"/>
      <c r="FK1200" s="8"/>
      <c r="FL1200" s="8"/>
      <c r="FM1200" s="8"/>
      <c r="FN1200" s="8"/>
      <c r="FO1200" s="8"/>
      <c r="FP1200" s="8"/>
      <c r="FQ1200" s="8"/>
      <c r="FR1200" s="8"/>
      <c r="FS1200" s="8"/>
      <c r="FT1200" s="8"/>
      <c r="FU1200" s="8"/>
      <c r="FV1200" s="8"/>
      <c r="FW1200" s="8"/>
      <c r="FX1200" s="8"/>
      <c r="FY1200" s="8"/>
      <c r="FZ1200" s="8"/>
      <c r="GA1200" s="8"/>
      <c r="GB1200" s="8"/>
      <c r="GC1200" s="8"/>
      <c r="GD1200" s="8"/>
      <c r="GE1200" s="8"/>
      <c r="GF1200" s="8"/>
      <c r="GG1200" s="8"/>
      <c r="GH1200" s="8"/>
      <c r="GI1200" s="8"/>
      <c r="GJ1200" s="8"/>
      <c r="GK1200" s="8"/>
      <c r="GL1200" s="8"/>
      <c r="GM1200" s="8"/>
      <c r="GN1200" s="8"/>
      <c r="GO1200" s="8"/>
      <c r="GP1200" s="8"/>
      <c r="GQ1200" s="8"/>
      <c r="GR1200" s="8"/>
      <c r="GS1200" s="8"/>
      <c r="GT1200" s="8"/>
      <c r="GU1200" s="8"/>
      <c r="GV1200" s="8"/>
      <c r="GW1200" s="8"/>
      <c r="GX1200" s="8"/>
      <c r="GY1200" s="8"/>
      <c r="GZ1200" s="8"/>
      <c r="HA1200" s="8"/>
      <c r="HB1200" s="8"/>
      <c r="HC1200" s="8"/>
      <c r="HD1200" s="8"/>
      <c r="HE1200" s="8"/>
      <c r="HF1200" s="8"/>
      <c r="HG1200" s="8"/>
      <c r="HH1200" s="8"/>
      <c r="HI1200" s="8"/>
      <c r="HJ1200" s="8"/>
      <c r="HK1200" s="8"/>
      <c r="HL1200" s="8"/>
      <c r="HM1200" s="8"/>
      <c r="HN1200" s="8"/>
      <c r="HO1200" s="8"/>
      <c r="HP1200" s="8"/>
      <c r="HQ1200" s="8"/>
      <c r="HR1200" s="8"/>
      <c r="HS1200" s="8"/>
      <c r="HT1200" s="8"/>
      <c r="HU1200" s="8"/>
      <c r="HV1200" s="8"/>
      <c r="HW1200" s="8"/>
      <c r="HX1200" s="8"/>
      <c r="HY1200" s="8"/>
      <c r="HZ1200" s="8"/>
      <c r="IA1200" s="8"/>
      <c r="IB1200" s="8"/>
      <c r="IC1200" s="8"/>
      <c r="ID1200" s="8"/>
      <c r="IE1200" s="8"/>
      <c r="IF1200" s="8"/>
    </row>
    <row r="1201" spans="1:240" ht="30" customHeight="1">
      <c r="A1201" s="5">
        <v>1199</v>
      </c>
      <c r="B1201" s="5"/>
      <c r="C1201" s="5"/>
      <c r="D1201" s="5" t="s">
        <v>68</v>
      </c>
      <c r="E1201" s="5" t="s">
        <v>48</v>
      </c>
      <c r="F1201" s="5" t="s">
        <v>48</v>
      </c>
      <c r="G1201" s="5" t="s">
        <v>48</v>
      </c>
      <c r="H1201" s="15">
        <f>6760*0.454</f>
        <v>3069.04</v>
      </c>
      <c r="I1201" s="5" t="s">
        <v>13</v>
      </c>
      <c r="J1201" s="15">
        <f>593/4.4</f>
        <v>134.77272727272725</v>
      </c>
      <c r="K1201" s="15">
        <f t="shared" si="35"/>
        <v>5.5560000000000009</v>
      </c>
      <c r="L1201" s="24">
        <v>865.13610647568203</v>
      </c>
      <c r="M1201" s="5">
        <f t="shared" si="34"/>
        <v>3.8800000000000026</v>
      </c>
      <c r="N1201" s="5"/>
      <c r="O1201" s="15">
        <f>39500*1.6978</f>
        <v>67063.100000000006</v>
      </c>
      <c r="P1201" s="5"/>
      <c r="Q1201" s="5"/>
      <c r="R1201" s="5">
        <v>4</v>
      </c>
      <c r="S1201" s="5"/>
      <c r="T1201" s="5"/>
      <c r="U1201" s="5"/>
      <c r="V1201" s="15">
        <f>25*0.7457</f>
        <v>18.642500000000002</v>
      </c>
      <c r="W1201" s="5"/>
      <c r="X1201" s="5"/>
      <c r="Y1201" s="5" t="s">
        <v>48</v>
      </c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16" t="s">
        <v>48</v>
      </c>
      <c r="AN1201" s="5"/>
      <c r="AO1201" s="8"/>
      <c r="AP1201" s="8"/>
      <c r="AQ1201" s="8"/>
      <c r="AR1201" s="8"/>
      <c r="AS1201" s="8"/>
      <c r="AT1201" s="8"/>
      <c r="AU1201" s="8"/>
      <c r="AV1201" s="8"/>
      <c r="AW1201" s="8"/>
      <c r="AX1201" s="8"/>
      <c r="AY1201" s="8"/>
      <c r="AZ1201" s="8"/>
      <c r="BA1201" s="8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8"/>
      <c r="BS1201" s="8"/>
      <c r="BT1201" s="8"/>
      <c r="BU1201" s="8"/>
      <c r="BV1201" s="8"/>
      <c r="BW1201" s="8"/>
      <c r="BX1201" s="8"/>
      <c r="BY1201" s="8"/>
      <c r="BZ1201" s="8"/>
      <c r="CA1201" s="8"/>
      <c r="CB1201" s="8"/>
      <c r="CC1201" s="8"/>
      <c r="CD1201" s="8"/>
      <c r="CE1201" s="8"/>
      <c r="CF1201" s="8"/>
      <c r="CG1201" s="8"/>
      <c r="CH1201" s="8"/>
      <c r="CI1201" s="8"/>
      <c r="CJ1201" s="8"/>
      <c r="CK1201" s="8"/>
      <c r="CL1201" s="8"/>
      <c r="CM1201" s="8"/>
      <c r="CN1201" s="8"/>
      <c r="CO1201" s="8"/>
      <c r="CP1201" s="8"/>
      <c r="CQ1201" s="8"/>
      <c r="CR1201" s="8"/>
      <c r="CS1201" s="8"/>
      <c r="CT1201" s="8"/>
      <c r="CU1201" s="8"/>
      <c r="CV1201" s="8"/>
      <c r="CW1201" s="8"/>
      <c r="CX1201" s="8"/>
      <c r="CY1201" s="8"/>
      <c r="CZ1201" s="8"/>
      <c r="DA1201" s="8"/>
      <c r="DB1201" s="8"/>
      <c r="DC1201" s="8"/>
      <c r="DD1201" s="8"/>
      <c r="DE1201" s="8"/>
      <c r="DF1201" s="8"/>
      <c r="DG1201" s="8"/>
      <c r="DH1201" s="8"/>
      <c r="DI1201" s="8"/>
      <c r="DJ1201" s="8"/>
      <c r="DK1201" s="8"/>
      <c r="DL1201" s="8"/>
      <c r="DM1201" s="8"/>
      <c r="DN1201" s="8"/>
      <c r="DO1201" s="8"/>
      <c r="DP1201" s="8"/>
      <c r="DQ1201" s="8"/>
      <c r="DR1201" s="8"/>
      <c r="DS1201" s="8"/>
      <c r="DT1201" s="8"/>
      <c r="DU1201" s="8"/>
      <c r="DV1201" s="8"/>
      <c r="DW1201" s="8"/>
      <c r="DX1201" s="8"/>
      <c r="DY1201" s="8"/>
      <c r="DZ1201" s="8"/>
      <c r="EA1201" s="8"/>
      <c r="EB1201" s="8"/>
      <c r="EC1201" s="8"/>
      <c r="ED1201" s="8"/>
      <c r="EE1201" s="8"/>
      <c r="EF1201" s="8"/>
      <c r="EG1201" s="8"/>
      <c r="EH1201" s="8"/>
      <c r="EI1201" s="8"/>
      <c r="EJ1201" s="8"/>
      <c r="EK1201" s="8"/>
      <c r="EL1201" s="8"/>
      <c r="EM1201" s="8"/>
      <c r="EN1201" s="8"/>
      <c r="EO1201" s="8"/>
      <c r="EP1201" s="8"/>
      <c r="EQ1201" s="8"/>
      <c r="ER1201" s="8"/>
      <c r="ES1201" s="8"/>
      <c r="ET1201" s="8"/>
      <c r="EU1201" s="8"/>
      <c r="EV1201" s="8"/>
      <c r="EW1201" s="8"/>
      <c r="EX1201" s="8"/>
      <c r="EY1201" s="8"/>
      <c r="EZ1201" s="8"/>
      <c r="FA1201" s="8"/>
      <c r="FB1201" s="8"/>
      <c r="FC1201" s="8"/>
      <c r="FD1201" s="8"/>
      <c r="FE1201" s="8"/>
      <c r="FF1201" s="8"/>
      <c r="FG1201" s="8"/>
      <c r="FH1201" s="8"/>
      <c r="FI1201" s="8"/>
      <c r="FJ1201" s="8"/>
      <c r="FK1201" s="8"/>
      <c r="FL1201" s="8"/>
      <c r="FM1201" s="8"/>
      <c r="FN1201" s="8"/>
      <c r="FO1201" s="8"/>
      <c r="FP1201" s="8"/>
      <c r="FQ1201" s="8"/>
      <c r="FR1201" s="8"/>
      <c r="FS1201" s="8"/>
      <c r="FT1201" s="8"/>
      <c r="FU1201" s="8"/>
      <c r="FV1201" s="8"/>
      <c r="FW1201" s="8"/>
      <c r="FX1201" s="8"/>
      <c r="FY1201" s="8"/>
      <c r="FZ1201" s="8"/>
      <c r="GA1201" s="8"/>
      <c r="GB1201" s="8"/>
      <c r="GC1201" s="8"/>
      <c r="GD1201" s="8"/>
      <c r="GE1201" s="8"/>
      <c r="GF1201" s="8"/>
      <c r="GG1201" s="8"/>
      <c r="GH1201" s="8"/>
      <c r="GI1201" s="8"/>
      <c r="GJ1201" s="8"/>
      <c r="GK1201" s="8"/>
      <c r="GL1201" s="8"/>
      <c r="GM1201" s="8"/>
      <c r="GN1201" s="8"/>
      <c r="GO1201" s="8"/>
      <c r="GP1201" s="8"/>
      <c r="GQ1201" s="8"/>
      <c r="GR1201" s="8"/>
      <c r="GS1201" s="8"/>
      <c r="GT1201" s="8"/>
      <c r="GU1201" s="8"/>
      <c r="GV1201" s="8"/>
      <c r="GW1201" s="8"/>
      <c r="GX1201" s="8"/>
      <c r="GY1201" s="8"/>
      <c r="GZ1201" s="8"/>
      <c r="HA1201" s="8"/>
      <c r="HB1201" s="8"/>
      <c r="HC1201" s="8"/>
      <c r="HD1201" s="8"/>
      <c r="HE1201" s="8"/>
      <c r="HF1201" s="8"/>
      <c r="HG1201" s="8"/>
      <c r="HH1201" s="8"/>
      <c r="HI1201" s="8"/>
      <c r="HJ1201" s="8"/>
      <c r="HK1201" s="8"/>
      <c r="HL1201" s="8"/>
      <c r="HM1201" s="8"/>
      <c r="HN1201" s="8"/>
      <c r="HO1201" s="8"/>
      <c r="HP1201" s="8"/>
      <c r="HQ1201" s="8"/>
      <c r="HR1201" s="8"/>
      <c r="HS1201" s="8"/>
      <c r="HT1201" s="8"/>
      <c r="HU1201" s="8"/>
      <c r="HV1201" s="8"/>
      <c r="HW1201" s="8"/>
      <c r="HX1201" s="8"/>
      <c r="HY1201" s="8"/>
      <c r="HZ1201" s="8"/>
      <c r="IA1201" s="8"/>
      <c r="IB1201" s="8"/>
      <c r="IC1201" s="8"/>
      <c r="ID1201" s="8"/>
      <c r="IE1201" s="8"/>
      <c r="IF1201" s="8"/>
    </row>
    <row r="1202" spans="1:240" ht="30" customHeight="1">
      <c r="A1202" s="5">
        <v>1200</v>
      </c>
      <c r="B1202" s="5"/>
      <c r="C1202" s="5"/>
      <c r="D1202" s="5" t="s">
        <v>68</v>
      </c>
      <c r="E1202" s="5" t="s">
        <v>48</v>
      </c>
      <c r="F1202" s="5" t="s">
        <v>48</v>
      </c>
      <c r="G1202" s="5" t="s">
        <v>48</v>
      </c>
      <c r="H1202" s="15">
        <f>6810*0.454</f>
        <v>3091.7400000000002</v>
      </c>
      <c r="I1202" s="5" t="s">
        <v>13</v>
      </c>
      <c r="J1202" s="15">
        <f>627/4.4</f>
        <v>142.5</v>
      </c>
      <c r="K1202" s="15">
        <f t="shared" si="35"/>
        <v>5.5560000000000009</v>
      </c>
      <c r="L1202" s="24">
        <v>914.73918846585616</v>
      </c>
      <c r="M1202" s="5">
        <f t="shared" si="34"/>
        <v>3.8800000000000026</v>
      </c>
      <c r="N1202" s="5"/>
      <c r="O1202" s="15">
        <f>41800*1.6978</f>
        <v>70968.039999999994</v>
      </c>
      <c r="P1202" s="5"/>
      <c r="Q1202" s="5"/>
      <c r="R1202" s="5">
        <v>4</v>
      </c>
      <c r="S1202" s="5"/>
      <c r="T1202" s="5"/>
      <c r="U1202" s="5"/>
      <c r="V1202" s="15">
        <f>30*0.7457</f>
        <v>22.371000000000002</v>
      </c>
      <c r="W1202" s="5"/>
      <c r="X1202" s="5"/>
      <c r="Y1202" s="5" t="s">
        <v>48</v>
      </c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16" t="s">
        <v>48</v>
      </c>
      <c r="AN1202" s="5"/>
      <c r="AO1202" s="8"/>
      <c r="AP1202" s="8"/>
      <c r="AQ1202" s="8"/>
      <c r="AR1202" s="8"/>
      <c r="AS1202" s="8"/>
      <c r="AT1202" s="8"/>
      <c r="AU1202" s="8"/>
      <c r="AV1202" s="8"/>
      <c r="AW1202" s="8"/>
      <c r="AX1202" s="8"/>
      <c r="AY1202" s="8"/>
      <c r="AZ1202" s="8"/>
      <c r="BA1202" s="8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8"/>
      <c r="BS1202" s="8"/>
      <c r="BT1202" s="8"/>
      <c r="BU1202" s="8"/>
      <c r="BV1202" s="8"/>
      <c r="BW1202" s="8"/>
      <c r="BX1202" s="8"/>
      <c r="BY1202" s="8"/>
      <c r="BZ1202" s="8"/>
      <c r="CA1202" s="8"/>
      <c r="CB1202" s="8"/>
      <c r="CC1202" s="8"/>
      <c r="CD1202" s="8"/>
      <c r="CE1202" s="8"/>
      <c r="CF1202" s="8"/>
      <c r="CG1202" s="8"/>
      <c r="CH1202" s="8"/>
      <c r="CI1202" s="8"/>
      <c r="CJ1202" s="8"/>
      <c r="CK1202" s="8"/>
      <c r="CL1202" s="8"/>
      <c r="CM1202" s="8"/>
      <c r="CN1202" s="8"/>
      <c r="CO1202" s="8"/>
      <c r="CP1202" s="8"/>
      <c r="CQ1202" s="8"/>
      <c r="CR1202" s="8"/>
      <c r="CS1202" s="8"/>
      <c r="CT1202" s="8"/>
      <c r="CU1202" s="8"/>
      <c r="CV1202" s="8"/>
      <c r="CW1202" s="8"/>
      <c r="CX1202" s="8"/>
      <c r="CY1202" s="8"/>
      <c r="CZ1202" s="8"/>
      <c r="DA1202" s="8"/>
      <c r="DB1202" s="8"/>
      <c r="DC1202" s="8"/>
      <c r="DD1202" s="8"/>
      <c r="DE1202" s="8"/>
      <c r="DF1202" s="8"/>
      <c r="DG1202" s="8"/>
      <c r="DH1202" s="8"/>
      <c r="DI1202" s="8"/>
      <c r="DJ1202" s="8"/>
      <c r="DK1202" s="8"/>
      <c r="DL1202" s="8"/>
      <c r="DM1202" s="8"/>
      <c r="DN1202" s="8"/>
      <c r="DO1202" s="8"/>
      <c r="DP1202" s="8"/>
      <c r="DQ1202" s="8"/>
      <c r="DR1202" s="8"/>
      <c r="DS1202" s="8"/>
      <c r="DT1202" s="8"/>
      <c r="DU1202" s="8"/>
      <c r="DV1202" s="8"/>
      <c r="DW1202" s="8"/>
      <c r="DX1202" s="8"/>
      <c r="DY1202" s="8"/>
      <c r="DZ1202" s="8"/>
      <c r="EA1202" s="8"/>
      <c r="EB1202" s="8"/>
      <c r="EC1202" s="8"/>
      <c r="ED1202" s="8"/>
      <c r="EE1202" s="8"/>
      <c r="EF1202" s="8"/>
      <c r="EG1202" s="8"/>
      <c r="EH1202" s="8"/>
      <c r="EI1202" s="8"/>
      <c r="EJ1202" s="8"/>
      <c r="EK1202" s="8"/>
      <c r="EL1202" s="8"/>
      <c r="EM1202" s="8"/>
      <c r="EN1202" s="8"/>
      <c r="EO1202" s="8"/>
      <c r="EP1202" s="8"/>
      <c r="EQ1202" s="8"/>
      <c r="ER1202" s="8"/>
      <c r="ES1202" s="8"/>
      <c r="ET1202" s="8"/>
      <c r="EU1202" s="8"/>
      <c r="EV1202" s="8"/>
      <c r="EW1202" s="8"/>
      <c r="EX1202" s="8"/>
      <c r="EY1202" s="8"/>
      <c r="EZ1202" s="8"/>
      <c r="FA1202" s="8"/>
      <c r="FB1202" s="8"/>
      <c r="FC1202" s="8"/>
      <c r="FD1202" s="8"/>
      <c r="FE1202" s="8"/>
      <c r="FF1202" s="8"/>
      <c r="FG1202" s="8"/>
      <c r="FH1202" s="8"/>
      <c r="FI1202" s="8"/>
      <c r="FJ1202" s="8"/>
      <c r="FK1202" s="8"/>
      <c r="FL1202" s="8"/>
      <c r="FM1202" s="8"/>
      <c r="FN1202" s="8"/>
      <c r="FO1202" s="8"/>
      <c r="FP1202" s="8"/>
      <c r="FQ1202" s="8"/>
      <c r="FR1202" s="8"/>
      <c r="FS1202" s="8"/>
      <c r="FT1202" s="8"/>
      <c r="FU1202" s="8"/>
      <c r="FV1202" s="8"/>
      <c r="FW1202" s="8"/>
      <c r="FX1202" s="8"/>
      <c r="FY1202" s="8"/>
      <c r="FZ1202" s="8"/>
      <c r="GA1202" s="8"/>
      <c r="GB1202" s="8"/>
      <c r="GC1202" s="8"/>
      <c r="GD1202" s="8"/>
      <c r="GE1202" s="8"/>
      <c r="GF1202" s="8"/>
      <c r="GG1202" s="8"/>
      <c r="GH1202" s="8"/>
      <c r="GI1202" s="8"/>
      <c r="GJ1202" s="8"/>
      <c r="GK1202" s="8"/>
      <c r="GL1202" s="8"/>
      <c r="GM1202" s="8"/>
      <c r="GN1202" s="8"/>
      <c r="GO1202" s="8"/>
      <c r="GP1202" s="8"/>
      <c r="GQ1202" s="8"/>
      <c r="GR1202" s="8"/>
      <c r="GS1202" s="8"/>
      <c r="GT1202" s="8"/>
      <c r="GU1202" s="8"/>
      <c r="GV1202" s="8"/>
      <c r="GW1202" s="8"/>
      <c r="GX1202" s="8"/>
      <c r="GY1202" s="8"/>
      <c r="GZ1202" s="8"/>
      <c r="HA1202" s="8"/>
      <c r="HB1202" s="8"/>
      <c r="HC1202" s="8"/>
      <c r="HD1202" s="8"/>
      <c r="HE1202" s="8"/>
      <c r="HF1202" s="8"/>
      <c r="HG1202" s="8"/>
      <c r="HH1202" s="8"/>
      <c r="HI1202" s="8"/>
      <c r="HJ1202" s="8"/>
      <c r="HK1202" s="8"/>
      <c r="HL1202" s="8"/>
      <c r="HM1202" s="8"/>
      <c r="HN1202" s="8"/>
      <c r="HO1202" s="8"/>
      <c r="HP1202" s="8"/>
      <c r="HQ1202" s="8"/>
      <c r="HR1202" s="8"/>
      <c r="HS1202" s="8"/>
      <c r="HT1202" s="8"/>
      <c r="HU1202" s="8"/>
      <c r="HV1202" s="8"/>
      <c r="HW1202" s="8"/>
      <c r="HX1202" s="8"/>
      <c r="HY1202" s="8"/>
      <c r="HZ1202" s="8"/>
      <c r="IA1202" s="8"/>
      <c r="IB1202" s="8"/>
      <c r="IC1202" s="8"/>
      <c r="ID1202" s="8"/>
      <c r="IE1202" s="8"/>
      <c r="IF1202" s="8"/>
    </row>
    <row r="1203" spans="1:240" ht="30" customHeight="1">
      <c r="A1203" s="5">
        <v>1201</v>
      </c>
      <c r="B1203" s="5"/>
      <c r="C1203" s="5"/>
      <c r="D1203" s="5" t="s">
        <v>68</v>
      </c>
      <c r="E1203" s="5" t="s">
        <v>48</v>
      </c>
      <c r="F1203" s="5" t="s">
        <v>48</v>
      </c>
      <c r="G1203" s="5" t="s">
        <v>48</v>
      </c>
      <c r="H1203" s="15">
        <f>9160*0.454</f>
        <v>4158.6400000000003</v>
      </c>
      <c r="I1203" s="5" t="s">
        <v>13</v>
      </c>
      <c r="J1203" s="15">
        <f>663/4.4</f>
        <v>150.68181818181816</v>
      </c>
      <c r="K1203" s="15">
        <f t="shared" si="35"/>
        <v>5.5560000000000009</v>
      </c>
      <c r="L1203" s="24">
        <v>967.26009880839308</v>
      </c>
      <c r="M1203" s="5">
        <f t="shared" si="34"/>
        <v>3.8800000000000026</v>
      </c>
      <c r="N1203" s="5"/>
      <c r="O1203" s="15">
        <f>55100*1.6978</f>
        <v>93548.78</v>
      </c>
      <c r="P1203" s="5"/>
      <c r="Q1203" s="5"/>
      <c r="R1203" s="5">
        <v>6</v>
      </c>
      <c r="S1203" s="5"/>
      <c r="T1203" s="5"/>
      <c r="U1203" s="5"/>
      <c r="V1203" s="15">
        <f>25*0.7457</f>
        <v>18.642500000000002</v>
      </c>
      <c r="W1203" s="5"/>
      <c r="X1203" s="5"/>
      <c r="Y1203" s="5" t="s">
        <v>48</v>
      </c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16" t="s">
        <v>48</v>
      </c>
      <c r="AN1203" s="5"/>
      <c r="AO1203" s="8"/>
      <c r="AP1203" s="8"/>
      <c r="AQ1203" s="8"/>
      <c r="AR1203" s="8"/>
      <c r="AS1203" s="8"/>
      <c r="AT1203" s="8"/>
      <c r="AU1203" s="8"/>
      <c r="AV1203" s="8"/>
      <c r="AW1203" s="8"/>
      <c r="AX1203" s="8"/>
      <c r="AY1203" s="8"/>
      <c r="AZ1203" s="8"/>
      <c r="BA1203" s="8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8"/>
      <c r="BS1203" s="8"/>
      <c r="BT1203" s="8"/>
      <c r="BU1203" s="8"/>
      <c r="BV1203" s="8"/>
      <c r="BW1203" s="8"/>
      <c r="BX1203" s="8"/>
      <c r="BY1203" s="8"/>
      <c r="BZ1203" s="8"/>
      <c r="CA1203" s="8"/>
      <c r="CB1203" s="8"/>
      <c r="CC1203" s="8"/>
      <c r="CD1203" s="8"/>
      <c r="CE1203" s="8"/>
      <c r="CF1203" s="8"/>
      <c r="CG1203" s="8"/>
      <c r="CH1203" s="8"/>
      <c r="CI1203" s="8"/>
      <c r="CJ1203" s="8"/>
      <c r="CK1203" s="8"/>
      <c r="CL1203" s="8"/>
      <c r="CM1203" s="8"/>
      <c r="CN1203" s="8"/>
      <c r="CO1203" s="8"/>
      <c r="CP1203" s="8"/>
      <c r="CQ1203" s="8"/>
      <c r="CR1203" s="8"/>
      <c r="CS1203" s="8"/>
      <c r="CT1203" s="8"/>
      <c r="CU1203" s="8"/>
      <c r="CV1203" s="8"/>
      <c r="CW1203" s="8"/>
      <c r="CX1203" s="8"/>
      <c r="CY1203" s="8"/>
      <c r="CZ1203" s="8"/>
      <c r="DA1203" s="8"/>
      <c r="DB1203" s="8"/>
      <c r="DC1203" s="8"/>
      <c r="DD1203" s="8"/>
      <c r="DE1203" s="8"/>
      <c r="DF1203" s="8"/>
      <c r="DG1203" s="8"/>
      <c r="DH1203" s="8"/>
      <c r="DI1203" s="8"/>
      <c r="DJ1203" s="8"/>
      <c r="DK1203" s="8"/>
      <c r="DL1203" s="8"/>
      <c r="DM1203" s="8"/>
      <c r="DN1203" s="8"/>
      <c r="DO1203" s="8"/>
      <c r="DP1203" s="8"/>
      <c r="DQ1203" s="8"/>
      <c r="DR1203" s="8"/>
      <c r="DS1203" s="8"/>
      <c r="DT1203" s="8"/>
      <c r="DU1203" s="8"/>
      <c r="DV1203" s="8"/>
      <c r="DW1203" s="8"/>
      <c r="DX1203" s="8"/>
      <c r="DY1203" s="8"/>
      <c r="DZ1203" s="8"/>
      <c r="EA1203" s="8"/>
      <c r="EB1203" s="8"/>
      <c r="EC1203" s="8"/>
      <c r="ED1203" s="8"/>
      <c r="EE1203" s="8"/>
      <c r="EF1203" s="8"/>
      <c r="EG1203" s="8"/>
      <c r="EH1203" s="8"/>
      <c r="EI1203" s="8"/>
      <c r="EJ1203" s="8"/>
      <c r="EK1203" s="8"/>
      <c r="EL1203" s="8"/>
      <c r="EM1203" s="8"/>
      <c r="EN1203" s="8"/>
      <c r="EO1203" s="8"/>
      <c r="EP1203" s="8"/>
      <c r="EQ1203" s="8"/>
      <c r="ER1203" s="8"/>
      <c r="ES1203" s="8"/>
      <c r="ET1203" s="8"/>
      <c r="EU1203" s="8"/>
      <c r="EV1203" s="8"/>
      <c r="EW1203" s="8"/>
      <c r="EX1203" s="8"/>
      <c r="EY1203" s="8"/>
      <c r="EZ1203" s="8"/>
      <c r="FA1203" s="8"/>
      <c r="FB1203" s="8"/>
      <c r="FC1203" s="8"/>
      <c r="FD1203" s="8"/>
      <c r="FE1203" s="8"/>
      <c r="FF1203" s="8"/>
      <c r="FG1203" s="8"/>
      <c r="FH1203" s="8"/>
      <c r="FI1203" s="8"/>
      <c r="FJ1203" s="8"/>
      <c r="FK1203" s="8"/>
      <c r="FL1203" s="8"/>
      <c r="FM1203" s="8"/>
      <c r="FN1203" s="8"/>
      <c r="FO1203" s="8"/>
      <c r="FP1203" s="8"/>
      <c r="FQ1203" s="8"/>
      <c r="FR1203" s="8"/>
      <c r="FS1203" s="8"/>
      <c r="FT1203" s="8"/>
      <c r="FU1203" s="8"/>
      <c r="FV1203" s="8"/>
      <c r="FW1203" s="8"/>
      <c r="FX1203" s="8"/>
      <c r="FY1203" s="8"/>
      <c r="FZ1203" s="8"/>
      <c r="GA1203" s="8"/>
      <c r="GB1203" s="8"/>
      <c r="GC1203" s="8"/>
      <c r="GD1203" s="8"/>
      <c r="GE1203" s="8"/>
      <c r="GF1203" s="8"/>
      <c r="GG1203" s="8"/>
      <c r="GH1203" s="8"/>
      <c r="GI1203" s="8"/>
      <c r="GJ1203" s="8"/>
      <c r="GK1203" s="8"/>
      <c r="GL1203" s="8"/>
      <c r="GM1203" s="8"/>
      <c r="GN1203" s="8"/>
      <c r="GO1203" s="8"/>
      <c r="GP1203" s="8"/>
      <c r="GQ1203" s="8"/>
      <c r="GR1203" s="8"/>
      <c r="GS1203" s="8"/>
      <c r="GT1203" s="8"/>
      <c r="GU1203" s="8"/>
      <c r="GV1203" s="8"/>
      <c r="GW1203" s="8"/>
      <c r="GX1203" s="8"/>
      <c r="GY1203" s="8"/>
      <c r="GZ1203" s="8"/>
      <c r="HA1203" s="8"/>
      <c r="HB1203" s="8"/>
      <c r="HC1203" s="8"/>
      <c r="HD1203" s="8"/>
      <c r="HE1203" s="8"/>
      <c r="HF1203" s="8"/>
      <c r="HG1203" s="8"/>
      <c r="HH1203" s="8"/>
      <c r="HI1203" s="8"/>
      <c r="HJ1203" s="8"/>
      <c r="HK1203" s="8"/>
      <c r="HL1203" s="8"/>
      <c r="HM1203" s="8"/>
      <c r="HN1203" s="8"/>
      <c r="HO1203" s="8"/>
      <c r="HP1203" s="8"/>
      <c r="HQ1203" s="8"/>
      <c r="HR1203" s="8"/>
      <c r="HS1203" s="8"/>
      <c r="HT1203" s="8"/>
      <c r="HU1203" s="8"/>
      <c r="HV1203" s="8"/>
      <c r="HW1203" s="8"/>
      <c r="HX1203" s="8"/>
      <c r="HY1203" s="8"/>
      <c r="HZ1203" s="8"/>
      <c r="IA1203" s="8"/>
      <c r="IB1203" s="8"/>
      <c r="IC1203" s="8"/>
      <c r="ID1203" s="8"/>
      <c r="IE1203" s="8"/>
      <c r="IF1203" s="8"/>
    </row>
    <row r="1204" spans="1:240" ht="30" customHeight="1">
      <c r="A1204" s="5">
        <v>1202</v>
      </c>
      <c r="B1204" s="5"/>
      <c r="C1204" s="5"/>
      <c r="D1204" s="5" t="s">
        <v>68</v>
      </c>
      <c r="E1204" s="5" t="s">
        <v>48</v>
      </c>
      <c r="F1204" s="5" t="s">
        <v>48</v>
      </c>
      <c r="G1204" s="5" t="s">
        <v>48</v>
      </c>
      <c r="H1204" s="15">
        <f>9210*0.454</f>
        <v>4181.34</v>
      </c>
      <c r="I1204" s="5" t="s">
        <v>13</v>
      </c>
      <c r="J1204" s="15">
        <f>708/4.4</f>
        <v>160.90909090909091</v>
      </c>
      <c r="K1204" s="15">
        <f t="shared" si="35"/>
        <v>5.5560000000000009</v>
      </c>
      <c r="L1204" s="24">
        <v>1032.9112367365647</v>
      </c>
      <c r="M1204" s="5">
        <f t="shared" si="34"/>
        <v>3.8800000000000026</v>
      </c>
      <c r="N1204" s="5"/>
      <c r="O1204" s="15">
        <f>58400*1.6978</f>
        <v>99151.52</v>
      </c>
      <c r="P1204" s="5"/>
      <c r="Q1204" s="5"/>
      <c r="R1204" s="5">
        <v>6</v>
      </c>
      <c r="S1204" s="5"/>
      <c r="T1204" s="5"/>
      <c r="U1204" s="5"/>
      <c r="V1204" s="15">
        <f>30*0.7457</f>
        <v>22.371000000000002</v>
      </c>
      <c r="W1204" s="5"/>
      <c r="X1204" s="5"/>
      <c r="Y1204" s="5" t="s">
        <v>48</v>
      </c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16" t="s">
        <v>48</v>
      </c>
      <c r="AN1204" s="5"/>
      <c r="AO1204" s="8"/>
      <c r="AP1204" s="8"/>
      <c r="AQ1204" s="8"/>
      <c r="AR1204" s="8"/>
      <c r="AS1204" s="8"/>
      <c r="AT1204" s="8"/>
      <c r="AU1204" s="8"/>
      <c r="AV1204" s="8"/>
      <c r="AW1204" s="8"/>
      <c r="AX1204" s="8"/>
      <c r="AY1204" s="8"/>
      <c r="AZ1204" s="8"/>
      <c r="BA1204" s="8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8"/>
      <c r="BS1204" s="8"/>
      <c r="BT1204" s="8"/>
      <c r="BU1204" s="8"/>
      <c r="BV1204" s="8"/>
      <c r="BW1204" s="8"/>
      <c r="BX1204" s="8"/>
      <c r="BY1204" s="8"/>
      <c r="BZ1204" s="8"/>
      <c r="CA1204" s="8"/>
      <c r="CB1204" s="8"/>
      <c r="CC1204" s="8"/>
      <c r="CD1204" s="8"/>
      <c r="CE1204" s="8"/>
      <c r="CF1204" s="8"/>
      <c r="CG1204" s="8"/>
      <c r="CH1204" s="8"/>
      <c r="CI1204" s="8"/>
      <c r="CJ1204" s="8"/>
      <c r="CK1204" s="8"/>
      <c r="CL1204" s="8"/>
      <c r="CM1204" s="8"/>
      <c r="CN1204" s="8"/>
      <c r="CO1204" s="8"/>
      <c r="CP1204" s="8"/>
      <c r="CQ1204" s="8"/>
      <c r="CR1204" s="8"/>
      <c r="CS1204" s="8"/>
      <c r="CT1204" s="8"/>
      <c r="CU1204" s="8"/>
      <c r="CV1204" s="8"/>
      <c r="CW1204" s="8"/>
      <c r="CX1204" s="8"/>
      <c r="CY1204" s="8"/>
      <c r="CZ1204" s="8"/>
      <c r="DA1204" s="8"/>
      <c r="DB1204" s="8"/>
      <c r="DC1204" s="8"/>
      <c r="DD1204" s="8"/>
      <c r="DE1204" s="8"/>
      <c r="DF1204" s="8"/>
      <c r="DG1204" s="8"/>
      <c r="DH1204" s="8"/>
      <c r="DI1204" s="8"/>
      <c r="DJ1204" s="8"/>
      <c r="DK1204" s="8"/>
      <c r="DL1204" s="8"/>
      <c r="DM1204" s="8"/>
      <c r="DN1204" s="8"/>
      <c r="DO1204" s="8"/>
      <c r="DP1204" s="8"/>
      <c r="DQ1204" s="8"/>
      <c r="DR1204" s="8"/>
      <c r="DS1204" s="8"/>
      <c r="DT1204" s="8"/>
      <c r="DU1204" s="8"/>
      <c r="DV1204" s="8"/>
      <c r="DW1204" s="8"/>
      <c r="DX1204" s="8"/>
      <c r="DY1204" s="8"/>
      <c r="DZ1204" s="8"/>
      <c r="EA1204" s="8"/>
      <c r="EB1204" s="8"/>
      <c r="EC1204" s="8"/>
      <c r="ED1204" s="8"/>
      <c r="EE1204" s="8"/>
      <c r="EF1204" s="8"/>
      <c r="EG1204" s="8"/>
      <c r="EH1204" s="8"/>
      <c r="EI1204" s="8"/>
      <c r="EJ1204" s="8"/>
      <c r="EK1204" s="8"/>
      <c r="EL1204" s="8"/>
      <c r="EM1204" s="8"/>
      <c r="EN1204" s="8"/>
      <c r="EO1204" s="8"/>
      <c r="EP1204" s="8"/>
      <c r="EQ1204" s="8"/>
      <c r="ER1204" s="8"/>
      <c r="ES1204" s="8"/>
      <c r="ET1204" s="8"/>
      <c r="EU1204" s="8"/>
      <c r="EV1204" s="8"/>
      <c r="EW1204" s="8"/>
      <c r="EX1204" s="8"/>
      <c r="EY1204" s="8"/>
      <c r="EZ1204" s="8"/>
      <c r="FA1204" s="8"/>
      <c r="FB1204" s="8"/>
      <c r="FC1204" s="8"/>
      <c r="FD1204" s="8"/>
      <c r="FE1204" s="8"/>
      <c r="FF1204" s="8"/>
      <c r="FG1204" s="8"/>
      <c r="FH1204" s="8"/>
      <c r="FI1204" s="8"/>
      <c r="FJ1204" s="8"/>
      <c r="FK1204" s="8"/>
      <c r="FL1204" s="8"/>
      <c r="FM1204" s="8"/>
      <c r="FN1204" s="8"/>
      <c r="FO1204" s="8"/>
      <c r="FP1204" s="8"/>
      <c r="FQ1204" s="8"/>
      <c r="FR1204" s="8"/>
      <c r="FS1204" s="8"/>
      <c r="FT1204" s="8"/>
      <c r="FU1204" s="8"/>
      <c r="FV1204" s="8"/>
      <c r="FW1204" s="8"/>
      <c r="FX1204" s="8"/>
      <c r="FY1204" s="8"/>
      <c r="FZ1204" s="8"/>
      <c r="GA1204" s="8"/>
      <c r="GB1204" s="8"/>
      <c r="GC1204" s="8"/>
      <c r="GD1204" s="8"/>
      <c r="GE1204" s="8"/>
      <c r="GF1204" s="8"/>
      <c r="GG1204" s="8"/>
      <c r="GH1204" s="8"/>
      <c r="GI1204" s="8"/>
      <c r="GJ1204" s="8"/>
      <c r="GK1204" s="8"/>
      <c r="GL1204" s="8"/>
      <c r="GM1204" s="8"/>
      <c r="GN1204" s="8"/>
      <c r="GO1204" s="8"/>
      <c r="GP1204" s="8"/>
      <c r="GQ1204" s="8"/>
      <c r="GR1204" s="8"/>
      <c r="GS1204" s="8"/>
      <c r="GT1204" s="8"/>
      <c r="GU1204" s="8"/>
      <c r="GV1204" s="8"/>
      <c r="GW1204" s="8"/>
      <c r="GX1204" s="8"/>
      <c r="GY1204" s="8"/>
      <c r="GZ1204" s="8"/>
      <c r="HA1204" s="8"/>
      <c r="HB1204" s="8"/>
      <c r="HC1204" s="8"/>
      <c r="HD1204" s="8"/>
      <c r="HE1204" s="8"/>
      <c r="HF1204" s="8"/>
      <c r="HG1204" s="8"/>
      <c r="HH1204" s="8"/>
      <c r="HI1204" s="8"/>
      <c r="HJ1204" s="8"/>
      <c r="HK1204" s="8"/>
      <c r="HL1204" s="8"/>
      <c r="HM1204" s="8"/>
      <c r="HN1204" s="8"/>
      <c r="HO1204" s="8"/>
      <c r="HP1204" s="8"/>
      <c r="HQ1204" s="8"/>
      <c r="HR1204" s="8"/>
      <c r="HS1204" s="8"/>
      <c r="HT1204" s="8"/>
      <c r="HU1204" s="8"/>
      <c r="HV1204" s="8"/>
      <c r="HW1204" s="8"/>
      <c r="HX1204" s="8"/>
      <c r="HY1204" s="8"/>
      <c r="HZ1204" s="8"/>
      <c r="IA1204" s="8"/>
      <c r="IB1204" s="8"/>
      <c r="IC1204" s="8"/>
      <c r="ID1204" s="8"/>
      <c r="IE1204" s="8"/>
      <c r="IF1204" s="8"/>
    </row>
    <row r="1205" spans="1:240" ht="30" customHeight="1">
      <c r="A1205" s="5">
        <v>1203</v>
      </c>
      <c r="B1205" s="5"/>
      <c r="C1205" s="5"/>
      <c r="D1205" s="5" t="s">
        <v>68</v>
      </c>
      <c r="E1205" s="5" t="s">
        <v>48</v>
      </c>
      <c r="F1205" s="5" t="s">
        <v>48</v>
      </c>
      <c r="G1205" s="5" t="s">
        <v>48</v>
      </c>
      <c r="H1205" s="15">
        <f>9370*0.454</f>
        <v>4253.9800000000005</v>
      </c>
      <c r="I1205" s="5" t="s">
        <v>13</v>
      </c>
      <c r="J1205" s="15">
        <f>786/4.4</f>
        <v>178.63636363636363</v>
      </c>
      <c r="K1205" s="15">
        <f t="shared" si="35"/>
        <v>5.5560000000000009</v>
      </c>
      <c r="L1205" s="24">
        <v>1146.7065424787288</v>
      </c>
      <c r="M1205" s="5">
        <f t="shared" si="34"/>
        <v>3.8800000000000026</v>
      </c>
      <c r="N1205" s="5"/>
      <c r="O1205" s="15">
        <f>64000*1.6978</f>
        <v>108659.2</v>
      </c>
      <c r="P1205" s="5"/>
      <c r="Q1205" s="5"/>
      <c r="R1205" s="5">
        <v>6</v>
      </c>
      <c r="S1205" s="5"/>
      <c r="T1205" s="5"/>
      <c r="U1205" s="5"/>
      <c r="V1205" s="15">
        <f>40*0.7457</f>
        <v>29.828000000000003</v>
      </c>
      <c r="W1205" s="5"/>
      <c r="X1205" s="5"/>
      <c r="Y1205" s="5" t="s">
        <v>48</v>
      </c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16" t="s">
        <v>48</v>
      </c>
      <c r="AN1205" s="5"/>
      <c r="AO1205" s="8"/>
      <c r="AP1205" s="8"/>
      <c r="AQ1205" s="8"/>
      <c r="AR1205" s="8"/>
      <c r="AS1205" s="8"/>
      <c r="AT1205" s="8"/>
      <c r="AU1205" s="8"/>
      <c r="AV1205" s="8"/>
      <c r="AW1205" s="8"/>
      <c r="AX1205" s="8"/>
      <c r="AY1205" s="8"/>
      <c r="AZ1205" s="8"/>
      <c r="BA1205" s="8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8"/>
      <c r="BS1205" s="8"/>
      <c r="BT1205" s="8"/>
      <c r="BU1205" s="8"/>
      <c r="BV1205" s="8"/>
      <c r="BW1205" s="8"/>
      <c r="BX1205" s="8"/>
      <c r="BY1205" s="8"/>
      <c r="BZ1205" s="8"/>
      <c r="CA1205" s="8"/>
      <c r="CB1205" s="8"/>
      <c r="CC1205" s="8"/>
      <c r="CD1205" s="8"/>
      <c r="CE1205" s="8"/>
      <c r="CF1205" s="8"/>
      <c r="CG1205" s="8"/>
      <c r="CH1205" s="8"/>
      <c r="CI1205" s="8"/>
      <c r="CJ1205" s="8"/>
      <c r="CK1205" s="8"/>
      <c r="CL1205" s="8"/>
      <c r="CM1205" s="8"/>
      <c r="CN1205" s="8"/>
      <c r="CO1205" s="8"/>
      <c r="CP1205" s="8"/>
      <c r="CQ1205" s="8"/>
      <c r="CR1205" s="8"/>
      <c r="CS1205" s="8"/>
      <c r="CT1205" s="8"/>
      <c r="CU1205" s="8"/>
      <c r="CV1205" s="8"/>
      <c r="CW1205" s="8"/>
      <c r="CX1205" s="8"/>
      <c r="CY1205" s="8"/>
      <c r="CZ1205" s="8"/>
      <c r="DA1205" s="8"/>
      <c r="DB1205" s="8"/>
      <c r="DC1205" s="8"/>
      <c r="DD1205" s="8"/>
      <c r="DE1205" s="8"/>
      <c r="DF1205" s="8"/>
      <c r="DG1205" s="8"/>
      <c r="DH1205" s="8"/>
      <c r="DI1205" s="8"/>
      <c r="DJ1205" s="8"/>
      <c r="DK1205" s="8"/>
      <c r="DL1205" s="8"/>
      <c r="DM1205" s="8"/>
      <c r="DN1205" s="8"/>
      <c r="DO1205" s="8"/>
      <c r="DP1205" s="8"/>
      <c r="DQ1205" s="8"/>
      <c r="DR1205" s="8"/>
      <c r="DS1205" s="8"/>
      <c r="DT1205" s="8"/>
      <c r="DU1205" s="8"/>
      <c r="DV1205" s="8"/>
      <c r="DW1205" s="8"/>
      <c r="DX1205" s="8"/>
      <c r="DY1205" s="8"/>
      <c r="DZ1205" s="8"/>
      <c r="EA1205" s="8"/>
      <c r="EB1205" s="8"/>
      <c r="EC1205" s="8"/>
      <c r="ED1205" s="8"/>
      <c r="EE1205" s="8"/>
      <c r="EF1205" s="8"/>
      <c r="EG1205" s="8"/>
      <c r="EH1205" s="8"/>
      <c r="EI1205" s="8"/>
      <c r="EJ1205" s="8"/>
      <c r="EK1205" s="8"/>
      <c r="EL1205" s="8"/>
      <c r="EM1205" s="8"/>
      <c r="EN1205" s="8"/>
      <c r="EO1205" s="8"/>
      <c r="EP1205" s="8"/>
      <c r="EQ1205" s="8"/>
      <c r="ER1205" s="8"/>
      <c r="ES1205" s="8"/>
      <c r="ET1205" s="8"/>
      <c r="EU1205" s="8"/>
      <c r="EV1205" s="8"/>
      <c r="EW1205" s="8"/>
      <c r="EX1205" s="8"/>
      <c r="EY1205" s="8"/>
      <c r="EZ1205" s="8"/>
      <c r="FA1205" s="8"/>
      <c r="FB1205" s="8"/>
      <c r="FC1205" s="8"/>
      <c r="FD1205" s="8"/>
      <c r="FE1205" s="8"/>
      <c r="FF1205" s="8"/>
      <c r="FG1205" s="8"/>
      <c r="FH1205" s="8"/>
      <c r="FI1205" s="8"/>
      <c r="FJ1205" s="8"/>
      <c r="FK1205" s="8"/>
      <c r="FL1205" s="8"/>
      <c r="FM1205" s="8"/>
      <c r="FN1205" s="8"/>
      <c r="FO1205" s="8"/>
      <c r="FP1205" s="8"/>
      <c r="FQ1205" s="8"/>
      <c r="FR1205" s="8"/>
      <c r="FS1205" s="8"/>
      <c r="FT1205" s="8"/>
      <c r="FU1205" s="8"/>
      <c r="FV1205" s="8"/>
      <c r="FW1205" s="8"/>
      <c r="FX1205" s="8"/>
      <c r="FY1205" s="8"/>
      <c r="FZ1205" s="8"/>
      <c r="GA1205" s="8"/>
      <c r="GB1205" s="8"/>
      <c r="GC1205" s="8"/>
      <c r="GD1205" s="8"/>
      <c r="GE1205" s="8"/>
      <c r="GF1205" s="8"/>
      <c r="GG1205" s="8"/>
      <c r="GH1205" s="8"/>
      <c r="GI1205" s="8"/>
      <c r="GJ1205" s="8"/>
      <c r="GK1205" s="8"/>
      <c r="GL1205" s="8"/>
      <c r="GM1205" s="8"/>
      <c r="GN1205" s="8"/>
      <c r="GO1205" s="8"/>
      <c r="GP1205" s="8"/>
      <c r="GQ1205" s="8"/>
      <c r="GR1205" s="8"/>
      <c r="GS1205" s="8"/>
      <c r="GT1205" s="8"/>
      <c r="GU1205" s="8"/>
      <c r="GV1205" s="8"/>
      <c r="GW1205" s="8"/>
      <c r="GX1205" s="8"/>
      <c r="GY1205" s="8"/>
      <c r="GZ1205" s="8"/>
      <c r="HA1205" s="8"/>
      <c r="HB1205" s="8"/>
      <c r="HC1205" s="8"/>
      <c r="HD1205" s="8"/>
      <c r="HE1205" s="8"/>
      <c r="HF1205" s="8"/>
      <c r="HG1205" s="8"/>
      <c r="HH1205" s="8"/>
      <c r="HI1205" s="8"/>
      <c r="HJ1205" s="8"/>
      <c r="HK1205" s="8"/>
      <c r="HL1205" s="8"/>
      <c r="HM1205" s="8"/>
      <c r="HN1205" s="8"/>
      <c r="HO1205" s="8"/>
      <c r="HP1205" s="8"/>
      <c r="HQ1205" s="8"/>
      <c r="HR1205" s="8"/>
      <c r="HS1205" s="8"/>
      <c r="HT1205" s="8"/>
      <c r="HU1205" s="8"/>
      <c r="HV1205" s="8"/>
      <c r="HW1205" s="8"/>
      <c r="HX1205" s="8"/>
      <c r="HY1205" s="8"/>
      <c r="HZ1205" s="8"/>
      <c r="IA1205" s="8"/>
      <c r="IB1205" s="8"/>
      <c r="IC1205" s="8"/>
      <c r="ID1205" s="8"/>
      <c r="IE1205" s="8"/>
      <c r="IF1205" s="8"/>
    </row>
    <row r="1206" spans="1:240" ht="30" customHeight="1">
      <c r="A1206" s="5">
        <v>1204</v>
      </c>
      <c r="B1206" s="5"/>
      <c r="C1206" s="5"/>
      <c r="D1206" s="5" t="s">
        <v>68</v>
      </c>
      <c r="E1206" s="5" t="s">
        <v>48</v>
      </c>
      <c r="F1206" s="5" t="s">
        <v>48</v>
      </c>
      <c r="G1206" s="5" t="s">
        <v>48</v>
      </c>
      <c r="H1206" s="15">
        <f>9560*0.454</f>
        <v>4340.24</v>
      </c>
      <c r="I1206" s="5" t="s">
        <v>13</v>
      </c>
      <c r="J1206" s="15">
        <f>789/4.4</f>
        <v>179.31818181818181</v>
      </c>
      <c r="K1206" s="15">
        <f t="shared" si="35"/>
        <v>5.5560000000000009</v>
      </c>
      <c r="L1206" s="24">
        <v>1151.0832850072734</v>
      </c>
      <c r="M1206" s="5">
        <f t="shared" si="34"/>
        <v>3.8800000000000026</v>
      </c>
      <c r="N1206" s="5"/>
      <c r="O1206" s="15">
        <f>56800*1.6978</f>
        <v>96435.04</v>
      </c>
      <c r="P1206" s="5"/>
      <c r="Q1206" s="5"/>
      <c r="R1206" s="5">
        <v>6</v>
      </c>
      <c r="S1206" s="5"/>
      <c r="T1206" s="5"/>
      <c r="U1206" s="5"/>
      <c r="V1206" s="15">
        <f>30*0.7457</f>
        <v>22.371000000000002</v>
      </c>
      <c r="W1206" s="5"/>
      <c r="X1206" s="5"/>
      <c r="Y1206" s="5" t="s">
        <v>48</v>
      </c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16" t="s">
        <v>48</v>
      </c>
      <c r="AN1206" s="5"/>
      <c r="AO1206" s="8"/>
      <c r="AP1206" s="8"/>
      <c r="AQ1206" s="8"/>
      <c r="AR1206" s="8"/>
      <c r="AS1206" s="8"/>
      <c r="AT1206" s="8"/>
      <c r="AU1206" s="8"/>
      <c r="AV1206" s="8"/>
      <c r="AW1206" s="8"/>
      <c r="AX1206" s="8"/>
      <c r="AY1206" s="8"/>
      <c r="AZ1206" s="8"/>
      <c r="BA1206" s="8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8"/>
      <c r="BS1206" s="8"/>
      <c r="BT1206" s="8"/>
      <c r="BU1206" s="8"/>
      <c r="BV1206" s="8"/>
      <c r="BW1206" s="8"/>
      <c r="BX1206" s="8"/>
      <c r="BY1206" s="8"/>
      <c r="BZ1206" s="8"/>
      <c r="CA1206" s="8"/>
      <c r="CB1206" s="8"/>
      <c r="CC1206" s="8"/>
      <c r="CD1206" s="8"/>
      <c r="CE1206" s="8"/>
      <c r="CF1206" s="8"/>
      <c r="CG1206" s="8"/>
      <c r="CH1206" s="8"/>
      <c r="CI1206" s="8"/>
      <c r="CJ1206" s="8"/>
      <c r="CK1206" s="8"/>
      <c r="CL1206" s="8"/>
      <c r="CM1206" s="8"/>
      <c r="CN1206" s="8"/>
      <c r="CO1206" s="8"/>
      <c r="CP1206" s="8"/>
      <c r="CQ1206" s="8"/>
      <c r="CR1206" s="8"/>
      <c r="CS1206" s="8"/>
      <c r="CT1206" s="8"/>
      <c r="CU1206" s="8"/>
      <c r="CV1206" s="8"/>
      <c r="CW1206" s="8"/>
      <c r="CX1206" s="8"/>
      <c r="CY1206" s="8"/>
      <c r="CZ1206" s="8"/>
      <c r="DA1206" s="8"/>
      <c r="DB1206" s="8"/>
      <c r="DC1206" s="8"/>
      <c r="DD1206" s="8"/>
      <c r="DE1206" s="8"/>
      <c r="DF1206" s="8"/>
      <c r="DG1206" s="8"/>
      <c r="DH1206" s="8"/>
      <c r="DI1206" s="8"/>
      <c r="DJ1206" s="8"/>
      <c r="DK1206" s="8"/>
      <c r="DL1206" s="8"/>
      <c r="DM1206" s="8"/>
      <c r="DN1206" s="8"/>
      <c r="DO1206" s="8"/>
      <c r="DP1206" s="8"/>
      <c r="DQ1206" s="8"/>
      <c r="DR1206" s="8"/>
      <c r="DS1206" s="8"/>
      <c r="DT1206" s="8"/>
      <c r="DU1206" s="8"/>
      <c r="DV1206" s="8"/>
      <c r="DW1206" s="8"/>
      <c r="DX1206" s="8"/>
      <c r="DY1206" s="8"/>
      <c r="DZ1206" s="8"/>
      <c r="EA1206" s="8"/>
      <c r="EB1206" s="8"/>
      <c r="EC1206" s="8"/>
      <c r="ED1206" s="8"/>
      <c r="EE1206" s="8"/>
      <c r="EF1206" s="8"/>
      <c r="EG1206" s="8"/>
      <c r="EH1206" s="8"/>
      <c r="EI1206" s="8"/>
      <c r="EJ1206" s="8"/>
      <c r="EK1206" s="8"/>
      <c r="EL1206" s="8"/>
      <c r="EM1206" s="8"/>
      <c r="EN1206" s="8"/>
      <c r="EO1206" s="8"/>
      <c r="EP1206" s="8"/>
      <c r="EQ1206" s="8"/>
      <c r="ER1206" s="8"/>
      <c r="ES1206" s="8"/>
      <c r="ET1206" s="8"/>
      <c r="EU1206" s="8"/>
      <c r="EV1206" s="8"/>
      <c r="EW1206" s="8"/>
      <c r="EX1206" s="8"/>
      <c r="EY1206" s="8"/>
      <c r="EZ1206" s="8"/>
      <c r="FA1206" s="8"/>
      <c r="FB1206" s="8"/>
      <c r="FC1206" s="8"/>
      <c r="FD1206" s="8"/>
      <c r="FE1206" s="8"/>
      <c r="FF1206" s="8"/>
      <c r="FG1206" s="8"/>
      <c r="FH1206" s="8"/>
      <c r="FI1206" s="8"/>
      <c r="FJ1206" s="8"/>
      <c r="FK1206" s="8"/>
      <c r="FL1206" s="8"/>
      <c r="FM1206" s="8"/>
      <c r="FN1206" s="8"/>
      <c r="FO1206" s="8"/>
      <c r="FP1206" s="8"/>
      <c r="FQ1206" s="8"/>
      <c r="FR1206" s="8"/>
      <c r="FS1206" s="8"/>
      <c r="FT1206" s="8"/>
      <c r="FU1206" s="8"/>
      <c r="FV1206" s="8"/>
      <c r="FW1206" s="8"/>
      <c r="FX1206" s="8"/>
      <c r="FY1206" s="8"/>
      <c r="FZ1206" s="8"/>
      <c r="GA1206" s="8"/>
      <c r="GB1206" s="8"/>
      <c r="GC1206" s="8"/>
      <c r="GD1206" s="8"/>
      <c r="GE1206" s="8"/>
      <c r="GF1206" s="8"/>
      <c r="GG1206" s="8"/>
      <c r="GH1206" s="8"/>
      <c r="GI1206" s="8"/>
      <c r="GJ1206" s="8"/>
      <c r="GK1206" s="8"/>
      <c r="GL1206" s="8"/>
      <c r="GM1206" s="8"/>
      <c r="GN1206" s="8"/>
      <c r="GO1206" s="8"/>
      <c r="GP1206" s="8"/>
      <c r="GQ1206" s="8"/>
      <c r="GR1206" s="8"/>
      <c r="GS1206" s="8"/>
      <c r="GT1206" s="8"/>
      <c r="GU1206" s="8"/>
      <c r="GV1206" s="8"/>
      <c r="GW1206" s="8"/>
      <c r="GX1206" s="8"/>
      <c r="GY1206" s="8"/>
      <c r="GZ1206" s="8"/>
      <c r="HA1206" s="8"/>
      <c r="HB1206" s="8"/>
      <c r="HC1206" s="8"/>
      <c r="HD1206" s="8"/>
      <c r="HE1206" s="8"/>
      <c r="HF1206" s="8"/>
      <c r="HG1206" s="8"/>
      <c r="HH1206" s="8"/>
      <c r="HI1206" s="8"/>
      <c r="HJ1206" s="8"/>
      <c r="HK1206" s="8"/>
      <c r="HL1206" s="8"/>
      <c r="HM1206" s="8"/>
      <c r="HN1206" s="8"/>
      <c r="HO1206" s="8"/>
      <c r="HP1206" s="8"/>
      <c r="HQ1206" s="8"/>
      <c r="HR1206" s="8"/>
      <c r="HS1206" s="8"/>
      <c r="HT1206" s="8"/>
      <c r="HU1206" s="8"/>
      <c r="HV1206" s="8"/>
      <c r="HW1206" s="8"/>
      <c r="HX1206" s="8"/>
      <c r="HY1206" s="8"/>
      <c r="HZ1206" s="8"/>
      <c r="IA1206" s="8"/>
      <c r="IB1206" s="8"/>
      <c r="IC1206" s="8"/>
      <c r="ID1206" s="8"/>
      <c r="IE1206" s="8"/>
      <c r="IF1206" s="8"/>
    </row>
    <row r="1207" spans="1:240" ht="30" customHeight="1">
      <c r="A1207" s="5">
        <v>1205</v>
      </c>
      <c r="B1207" s="5"/>
      <c r="C1207" s="5"/>
      <c r="D1207" s="5" t="s">
        <v>68</v>
      </c>
      <c r="E1207" s="5" t="s">
        <v>48</v>
      </c>
      <c r="F1207" s="5" t="s">
        <v>48</v>
      </c>
      <c r="G1207" s="5" t="s">
        <v>48</v>
      </c>
      <c r="H1207" s="15">
        <f>9720*0.454</f>
        <v>4412.88</v>
      </c>
      <c r="I1207" s="5" t="s">
        <v>13</v>
      </c>
      <c r="J1207" s="15">
        <f>868/4.4</f>
        <v>197.27272727272725</v>
      </c>
      <c r="K1207" s="15">
        <f t="shared" si="35"/>
        <v>5.5560000000000009</v>
      </c>
      <c r="L1207" s="24">
        <v>1266.3375049256188</v>
      </c>
      <c r="M1207" s="5">
        <f t="shared" si="34"/>
        <v>3.8800000000000026</v>
      </c>
      <c r="N1207" s="5"/>
      <c r="O1207" s="15">
        <f>62200*1.6978</f>
        <v>105603.16</v>
      </c>
      <c r="P1207" s="5"/>
      <c r="Q1207" s="5"/>
      <c r="R1207" s="5">
        <v>6</v>
      </c>
      <c r="S1207" s="5"/>
      <c r="T1207" s="5"/>
      <c r="U1207" s="5"/>
      <c r="V1207" s="15">
        <f>40*0.7457</f>
        <v>29.828000000000003</v>
      </c>
      <c r="W1207" s="5"/>
      <c r="X1207" s="5"/>
      <c r="Y1207" s="5" t="s">
        <v>48</v>
      </c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16" t="s">
        <v>48</v>
      </c>
      <c r="AN1207" s="5"/>
      <c r="AO1207" s="8"/>
      <c r="AP1207" s="8"/>
      <c r="AQ1207" s="8"/>
      <c r="AR1207" s="8"/>
      <c r="AS1207" s="8"/>
      <c r="AT1207" s="8"/>
      <c r="AU1207" s="8"/>
      <c r="AV1207" s="8"/>
      <c r="AW1207" s="8"/>
      <c r="AX1207" s="8"/>
      <c r="AY1207" s="8"/>
      <c r="AZ1207" s="8"/>
      <c r="BA1207" s="8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8"/>
      <c r="BS1207" s="8"/>
      <c r="BT1207" s="8"/>
      <c r="BU1207" s="8"/>
      <c r="BV1207" s="8"/>
      <c r="BW1207" s="8"/>
      <c r="BX1207" s="8"/>
      <c r="BY1207" s="8"/>
      <c r="BZ1207" s="8"/>
      <c r="CA1207" s="8"/>
      <c r="CB1207" s="8"/>
      <c r="CC1207" s="8"/>
      <c r="CD1207" s="8"/>
      <c r="CE1207" s="8"/>
      <c r="CF1207" s="8"/>
      <c r="CG1207" s="8"/>
      <c r="CH1207" s="8"/>
      <c r="CI1207" s="8"/>
      <c r="CJ1207" s="8"/>
      <c r="CK1207" s="8"/>
      <c r="CL1207" s="8"/>
      <c r="CM1207" s="8"/>
      <c r="CN1207" s="8"/>
      <c r="CO1207" s="8"/>
      <c r="CP1207" s="8"/>
      <c r="CQ1207" s="8"/>
      <c r="CR1207" s="8"/>
      <c r="CS1207" s="8"/>
      <c r="CT1207" s="8"/>
      <c r="CU1207" s="8"/>
      <c r="CV1207" s="8"/>
      <c r="CW1207" s="8"/>
      <c r="CX1207" s="8"/>
      <c r="CY1207" s="8"/>
      <c r="CZ1207" s="8"/>
      <c r="DA1207" s="8"/>
      <c r="DB1207" s="8"/>
      <c r="DC1207" s="8"/>
      <c r="DD1207" s="8"/>
      <c r="DE1207" s="8"/>
      <c r="DF1207" s="8"/>
      <c r="DG1207" s="8"/>
      <c r="DH1207" s="8"/>
      <c r="DI1207" s="8"/>
      <c r="DJ1207" s="8"/>
      <c r="DK1207" s="8"/>
      <c r="DL1207" s="8"/>
      <c r="DM1207" s="8"/>
      <c r="DN1207" s="8"/>
      <c r="DO1207" s="8"/>
      <c r="DP1207" s="8"/>
      <c r="DQ1207" s="8"/>
      <c r="DR1207" s="8"/>
      <c r="DS1207" s="8"/>
      <c r="DT1207" s="8"/>
      <c r="DU1207" s="8"/>
      <c r="DV1207" s="8"/>
      <c r="DW1207" s="8"/>
      <c r="DX1207" s="8"/>
      <c r="DY1207" s="8"/>
      <c r="DZ1207" s="8"/>
      <c r="EA1207" s="8"/>
      <c r="EB1207" s="8"/>
      <c r="EC1207" s="8"/>
      <c r="ED1207" s="8"/>
      <c r="EE1207" s="8"/>
      <c r="EF1207" s="8"/>
      <c r="EG1207" s="8"/>
      <c r="EH1207" s="8"/>
      <c r="EI1207" s="8"/>
      <c r="EJ1207" s="8"/>
      <c r="EK1207" s="8"/>
      <c r="EL1207" s="8"/>
      <c r="EM1207" s="8"/>
      <c r="EN1207" s="8"/>
      <c r="EO1207" s="8"/>
      <c r="EP1207" s="8"/>
      <c r="EQ1207" s="8"/>
      <c r="ER1207" s="8"/>
      <c r="ES1207" s="8"/>
      <c r="ET1207" s="8"/>
      <c r="EU1207" s="8"/>
      <c r="EV1207" s="8"/>
      <c r="EW1207" s="8"/>
      <c r="EX1207" s="8"/>
      <c r="EY1207" s="8"/>
      <c r="EZ1207" s="8"/>
      <c r="FA1207" s="8"/>
      <c r="FB1207" s="8"/>
      <c r="FC1207" s="8"/>
      <c r="FD1207" s="8"/>
      <c r="FE1207" s="8"/>
      <c r="FF1207" s="8"/>
      <c r="FG1207" s="8"/>
      <c r="FH1207" s="8"/>
      <c r="FI1207" s="8"/>
      <c r="FJ1207" s="8"/>
      <c r="FK1207" s="8"/>
      <c r="FL1207" s="8"/>
      <c r="FM1207" s="8"/>
      <c r="FN1207" s="8"/>
      <c r="FO1207" s="8"/>
      <c r="FP1207" s="8"/>
      <c r="FQ1207" s="8"/>
      <c r="FR1207" s="8"/>
      <c r="FS1207" s="8"/>
      <c r="FT1207" s="8"/>
      <c r="FU1207" s="8"/>
      <c r="FV1207" s="8"/>
      <c r="FW1207" s="8"/>
      <c r="FX1207" s="8"/>
      <c r="FY1207" s="8"/>
      <c r="FZ1207" s="8"/>
      <c r="GA1207" s="8"/>
      <c r="GB1207" s="8"/>
      <c r="GC1207" s="8"/>
      <c r="GD1207" s="8"/>
      <c r="GE1207" s="8"/>
      <c r="GF1207" s="8"/>
      <c r="GG1207" s="8"/>
      <c r="GH1207" s="8"/>
      <c r="GI1207" s="8"/>
      <c r="GJ1207" s="8"/>
      <c r="GK1207" s="8"/>
      <c r="GL1207" s="8"/>
      <c r="GM1207" s="8"/>
      <c r="GN1207" s="8"/>
      <c r="GO1207" s="8"/>
      <c r="GP1207" s="8"/>
      <c r="GQ1207" s="8"/>
      <c r="GR1207" s="8"/>
      <c r="GS1207" s="8"/>
      <c r="GT1207" s="8"/>
      <c r="GU1207" s="8"/>
      <c r="GV1207" s="8"/>
      <c r="GW1207" s="8"/>
      <c r="GX1207" s="8"/>
      <c r="GY1207" s="8"/>
      <c r="GZ1207" s="8"/>
      <c r="HA1207" s="8"/>
      <c r="HB1207" s="8"/>
      <c r="HC1207" s="8"/>
      <c r="HD1207" s="8"/>
      <c r="HE1207" s="8"/>
      <c r="HF1207" s="8"/>
      <c r="HG1207" s="8"/>
      <c r="HH1207" s="8"/>
      <c r="HI1207" s="8"/>
      <c r="HJ1207" s="8"/>
      <c r="HK1207" s="8"/>
      <c r="HL1207" s="8"/>
      <c r="HM1207" s="8"/>
      <c r="HN1207" s="8"/>
      <c r="HO1207" s="8"/>
      <c r="HP1207" s="8"/>
      <c r="HQ1207" s="8"/>
      <c r="HR1207" s="8"/>
      <c r="HS1207" s="8"/>
      <c r="HT1207" s="8"/>
      <c r="HU1207" s="8"/>
      <c r="HV1207" s="8"/>
      <c r="HW1207" s="8"/>
      <c r="HX1207" s="8"/>
      <c r="HY1207" s="8"/>
      <c r="HZ1207" s="8"/>
      <c r="IA1207" s="8"/>
      <c r="IB1207" s="8"/>
      <c r="IC1207" s="8"/>
      <c r="ID1207" s="8"/>
      <c r="IE1207" s="8"/>
      <c r="IF1207" s="8"/>
    </row>
    <row r="1208" spans="1:240" ht="30" customHeight="1">
      <c r="A1208" s="5">
        <v>1206</v>
      </c>
      <c r="B1208" s="5"/>
      <c r="C1208" s="5"/>
      <c r="D1208" s="5" t="s">
        <v>68</v>
      </c>
      <c r="E1208" s="5" t="s">
        <v>48</v>
      </c>
      <c r="F1208" s="5" t="s">
        <v>48</v>
      </c>
      <c r="G1208" s="5" t="s">
        <v>48</v>
      </c>
      <c r="H1208" s="15">
        <f>10070*0.454</f>
        <v>4571.78</v>
      </c>
      <c r="I1208" s="5" t="s">
        <v>13</v>
      </c>
      <c r="J1208" s="15">
        <f>912/4.4</f>
        <v>207.27272727272725</v>
      </c>
      <c r="K1208" s="15">
        <f t="shared" si="35"/>
        <v>5.5560000000000009</v>
      </c>
      <c r="L1208" s="24">
        <v>1330.5297286776085</v>
      </c>
      <c r="M1208" s="5">
        <f t="shared" si="34"/>
        <v>3.8800000000000026</v>
      </c>
      <c r="N1208" s="5"/>
      <c r="O1208" s="15">
        <f>60800*1.6978</f>
        <v>103226.24000000001</v>
      </c>
      <c r="P1208" s="5"/>
      <c r="Q1208" s="5"/>
      <c r="R1208" s="5">
        <v>6</v>
      </c>
      <c r="S1208" s="5"/>
      <c r="T1208" s="5"/>
      <c r="U1208" s="5"/>
      <c r="V1208" s="15">
        <f>40*0.7457</f>
        <v>29.828000000000003</v>
      </c>
      <c r="W1208" s="5"/>
      <c r="X1208" s="5"/>
      <c r="Y1208" s="5" t="s">
        <v>48</v>
      </c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16" t="s">
        <v>48</v>
      </c>
      <c r="AN1208" s="5"/>
      <c r="AO1208" s="8"/>
      <c r="AP1208" s="8"/>
      <c r="AQ1208" s="8"/>
      <c r="AR1208" s="8"/>
      <c r="AS1208" s="8"/>
      <c r="AT1208" s="8"/>
      <c r="AU1208" s="8"/>
      <c r="AV1208" s="8"/>
      <c r="AW1208" s="8"/>
      <c r="AX1208" s="8"/>
      <c r="AY1208" s="8"/>
      <c r="AZ1208" s="8"/>
      <c r="BA1208" s="8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8"/>
      <c r="BS1208" s="8"/>
      <c r="BT1208" s="8"/>
      <c r="BU1208" s="8"/>
      <c r="BV1208" s="8"/>
      <c r="BW1208" s="8"/>
      <c r="BX1208" s="8"/>
      <c r="BY1208" s="8"/>
      <c r="BZ1208" s="8"/>
      <c r="CA1208" s="8"/>
      <c r="CB1208" s="8"/>
      <c r="CC1208" s="8"/>
      <c r="CD1208" s="8"/>
      <c r="CE1208" s="8"/>
      <c r="CF1208" s="8"/>
      <c r="CG1208" s="8"/>
      <c r="CH1208" s="8"/>
      <c r="CI1208" s="8"/>
      <c r="CJ1208" s="8"/>
      <c r="CK1208" s="8"/>
      <c r="CL1208" s="8"/>
      <c r="CM1208" s="8"/>
      <c r="CN1208" s="8"/>
      <c r="CO1208" s="8"/>
      <c r="CP1208" s="8"/>
      <c r="CQ1208" s="8"/>
      <c r="CR1208" s="8"/>
      <c r="CS1208" s="8"/>
      <c r="CT1208" s="8"/>
      <c r="CU1208" s="8"/>
      <c r="CV1208" s="8"/>
      <c r="CW1208" s="8"/>
      <c r="CX1208" s="8"/>
      <c r="CY1208" s="8"/>
      <c r="CZ1208" s="8"/>
      <c r="DA1208" s="8"/>
      <c r="DB1208" s="8"/>
      <c r="DC1208" s="8"/>
      <c r="DD1208" s="8"/>
      <c r="DE1208" s="8"/>
      <c r="DF1208" s="8"/>
      <c r="DG1208" s="8"/>
      <c r="DH1208" s="8"/>
      <c r="DI1208" s="8"/>
      <c r="DJ1208" s="8"/>
      <c r="DK1208" s="8"/>
      <c r="DL1208" s="8"/>
      <c r="DM1208" s="8"/>
      <c r="DN1208" s="8"/>
      <c r="DO1208" s="8"/>
      <c r="DP1208" s="8"/>
      <c r="DQ1208" s="8"/>
      <c r="DR1208" s="8"/>
      <c r="DS1208" s="8"/>
      <c r="DT1208" s="8"/>
      <c r="DU1208" s="8"/>
      <c r="DV1208" s="8"/>
      <c r="DW1208" s="8"/>
      <c r="DX1208" s="8"/>
      <c r="DY1208" s="8"/>
      <c r="DZ1208" s="8"/>
      <c r="EA1208" s="8"/>
      <c r="EB1208" s="8"/>
      <c r="EC1208" s="8"/>
      <c r="ED1208" s="8"/>
      <c r="EE1208" s="8"/>
      <c r="EF1208" s="8"/>
      <c r="EG1208" s="8"/>
      <c r="EH1208" s="8"/>
      <c r="EI1208" s="8"/>
      <c r="EJ1208" s="8"/>
      <c r="EK1208" s="8"/>
      <c r="EL1208" s="8"/>
      <c r="EM1208" s="8"/>
      <c r="EN1208" s="8"/>
      <c r="EO1208" s="8"/>
      <c r="EP1208" s="8"/>
      <c r="EQ1208" s="8"/>
      <c r="ER1208" s="8"/>
      <c r="ES1208" s="8"/>
      <c r="ET1208" s="8"/>
      <c r="EU1208" s="8"/>
      <c r="EV1208" s="8"/>
      <c r="EW1208" s="8"/>
      <c r="EX1208" s="8"/>
      <c r="EY1208" s="8"/>
      <c r="EZ1208" s="8"/>
      <c r="FA1208" s="8"/>
      <c r="FB1208" s="8"/>
      <c r="FC1208" s="8"/>
      <c r="FD1208" s="8"/>
      <c r="FE1208" s="8"/>
      <c r="FF1208" s="8"/>
      <c r="FG1208" s="8"/>
      <c r="FH1208" s="8"/>
      <c r="FI1208" s="8"/>
      <c r="FJ1208" s="8"/>
      <c r="FK1208" s="8"/>
      <c r="FL1208" s="8"/>
      <c r="FM1208" s="8"/>
      <c r="FN1208" s="8"/>
      <c r="FO1208" s="8"/>
      <c r="FP1208" s="8"/>
      <c r="FQ1208" s="8"/>
      <c r="FR1208" s="8"/>
      <c r="FS1208" s="8"/>
      <c r="FT1208" s="8"/>
      <c r="FU1208" s="8"/>
      <c r="FV1208" s="8"/>
      <c r="FW1208" s="8"/>
      <c r="FX1208" s="8"/>
      <c r="FY1208" s="8"/>
      <c r="FZ1208" s="8"/>
      <c r="GA1208" s="8"/>
      <c r="GB1208" s="8"/>
      <c r="GC1208" s="8"/>
      <c r="GD1208" s="8"/>
      <c r="GE1208" s="8"/>
      <c r="GF1208" s="8"/>
      <c r="GG1208" s="8"/>
      <c r="GH1208" s="8"/>
      <c r="GI1208" s="8"/>
      <c r="GJ1208" s="8"/>
      <c r="GK1208" s="8"/>
      <c r="GL1208" s="8"/>
      <c r="GM1208" s="8"/>
      <c r="GN1208" s="8"/>
      <c r="GO1208" s="8"/>
      <c r="GP1208" s="8"/>
      <c r="GQ1208" s="8"/>
      <c r="GR1208" s="8"/>
      <c r="GS1208" s="8"/>
      <c r="GT1208" s="8"/>
      <c r="GU1208" s="8"/>
      <c r="GV1208" s="8"/>
      <c r="GW1208" s="8"/>
      <c r="GX1208" s="8"/>
      <c r="GY1208" s="8"/>
      <c r="GZ1208" s="8"/>
      <c r="HA1208" s="8"/>
      <c r="HB1208" s="8"/>
      <c r="HC1208" s="8"/>
      <c r="HD1208" s="8"/>
      <c r="HE1208" s="8"/>
      <c r="HF1208" s="8"/>
      <c r="HG1208" s="8"/>
      <c r="HH1208" s="8"/>
      <c r="HI1208" s="8"/>
      <c r="HJ1208" s="8"/>
      <c r="HK1208" s="8"/>
      <c r="HL1208" s="8"/>
      <c r="HM1208" s="8"/>
      <c r="HN1208" s="8"/>
      <c r="HO1208" s="8"/>
      <c r="HP1208" s="8"/>
      <c r="HQ1208" s="8"/>
      <c r="HR1208" s="8"/>
      <c r="HS1208" s="8"/>
      <c r="HT1208" s="8"/>
      <c r="HU1208" s="8"/>
      <c r="HV1208" s="8"/>
      <c r="HW1208" s="8"/>
      <c r="HX1208" s="8"/>
      <c r="HY1208" s="8"/>
      <c r="HZ1208" s="8"/>
      <c r="IA1208" s="8"/>
      <c r="IB1208" s="8"/>
      <c r="IC1208" s="8"/>
      <c r="ID1208" s="8"/>
      <c r="IE1208" s="8"/>
      <c r="IF1208" s="8"/>
    </row>
    <row r="1209" spans="1:240" ht="30" customHeight="1">
      <c r="A1209" s="5">
        <v>1207</v>
      </c>
      <c r="B1209" s="5"/>
      <c r="C1209" s="5"/>
      <c r="D1209" s="5" t="s">
        <v>68</v>
      </c>
      <c r="E1209" s="5" t="s">
        <v>48</v>
      </c>
      <c r="F1209" s="5" t="s">
        <v>48</v>
      </c>
      <c r="G1209" s="5" t="s">
        <v>48</v>
      </c>
      <c r="H1209" s="15">
        <f>10080*0.454</f>
        <v>4576.32</v>
      </c>
      <c r="I1209" s="5" t="s">
        <v>13</v>
      </c>
      <c r="J1209" s="15">
        <f>978/4.4</f>
        <v>222.27272727272725</v>
      </c>
      <c r="K1209" s="15">
        <f t="shared" si="35"/>
        <v>5.5560000000000009</v>
      </c>
      <c r="L1209" s="24">
        <v>1426.8180643055937</v>
      </c>
      <c r="M1209" s="5">
        <f t="shared" si="34"/>
        <v>3.8800000000000026</v>
      </c>
      <c r="N1209" s="5"/>
      <c r="O1209" s="15">
        <f>63200*1.6978</f>
        <v>107300.95999999999</v>
      </c>
      <c r="P1209" s="5"/>
      <c r="Q1209" s="5"/>
      <c r="R1209" s="5">
        <v>6</v>
      </c>
      <c r="S1209" s="5"/>
      <c r="T1209" s="5"/>
      <c r="U1209" s="5"/>
      <c r="V1209" s="15">
        <f>50*0.7457</f>
        <v>37.285000000000004</v>
      </c>
      <c r="W1209" s="5"/>
      <c r="X1209" s="5"/>
      <c r="Y1209" s="5" t="s">
        <v>48</v>
      </c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16" t="s">
        <v>48</v>
      </c>
      <c r="AN1209" s="5"/>
      <c r="AO1209" s="8"/>
      <c r="AP1209" s="8"/>
      <c r="AQ1209" s="8"/>
      <c r="AR1209" s="8"/>
      <c r="AS1209" s="8"/>
      <c r="AT1209" s="8"/>
      <c r="AU1209" s="8"/>
      <c r="AV1209" s="8"/>
      <c r="AW1209" s="8"/>
      <c r="AX1209" s="8"/>
      <c r="AY1209" s="8"/>
      <c r="AZ1209" s="8"/>
      <c r="BA1209" s="8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8"/>
      <c r="BS1209" s="8"/>
      <c r="BT1209" s="8"/>
      <c r="BU1209" s="8"/>
      <c r="BV1209" s="8"/>
      <c r="BW1209" s="8"/>
      <c r="BX1209" s="8"/>
      <c r="BY1209" s="8"/>
      <c r="BZ1209" s="8"/>
      <c r="CA1209" s="8"/>
      <c r="CB1209" s="8"/>
      <c r="CC1209" s="8"/>
      <c r="CD1209" s="8"/>
      <c r="CE1209" s="8"/>
      <c r="CF1209" s="8"/>
      <c r="CG1209" s="8"/>
      <c r="CH1209" s="8"/>
      <c r="CI1209" s="8"/>
      <c r="CJ1209" s="8"/>
      <c r="CK1209" s="8"/>
      <c r="CL1209" s="8"/>
      <c r="CM1209" s="8"/>
      <c r="CN1209" s="8"/>
      <c r="CO1209" s="8"/>
      <c r="CP1209" s="8"/>
      <c r="CQ1209" s="8"/>
      <c r="CR1209" s="8"/>
      <c r="CS1209" s="8"/>
      <c r="CT1209" s="8"/>
      <c r="CU1209" s="8"/>
      <c r="CV1209" s="8"/>
      <c r="CW1209" s="8"/>
      <c r="CX1209" s="8"/>
      <c r="CY1209" s="8"/>
      <c r="CZ1209" s="8"/>
      <c r="DA1209" s="8"/>
      <c r="DB1209" s="8"/>
      <c r="DC1209" s="8"/>
      <c r="DD1209" s="8"/>
      <c r="DE1209" s="8"/>
      <c r="DF1209" s="8"/>
      <c r="DG1209" s="8"/>
      <c r="DH1209" s="8"/>
      <c r="DI1209" s="8"/>
      <c r="DJ1209" s="8"/>
      <c r="DK1209" s="8"/>
      <c r="DL1209" s="8"/>
      <c r="DM1209" s="8"/>
      <c r="DN1209" s="8"/>
      <c r="DO1209" s="8"/>
      <c r="DP1209" s="8"/>
      <c r="DQ1209" s="8"/>
      <c r="DR1209" s="8"/>
      <c r="DS1209" s="8"/>
      <c r="DT1209" s="8"/>
      <c r="DU1209" s="8"/>
      <c r="DV1209" s="8"/>
      <c r="DW1209" s="8"/>
      <c r="DX1209" s="8"/>
      <c r="DY1209" s="8"/>
      <c r="DZ1209" s="8"/>
      <c r="EA1209" s="8"/>
      <c r="EB1209" s="8"/>
      <c r="EC1209" s="8"/>
      <c r="ED1209" s="8"/>
      <c r="EE1209" s="8"/>
      <c r="EF1209" s="8"/>
      <c r="EG1209" s="8"/>
      <c r="EH1209" s="8"/>
      <c r="EI1209" s="8"/>
      <c r="EJ1209" s="8"/>
      <c r="EK1209" s="8"/>
      <c r="EL1209" s="8"/>
      <c r="EM1209" s="8"/>
      <c r="EN1209" s="8"/>
      <c r="EO1209" s="8"/>
      <c r="EP1209" s="8"/>
      <c r="EQ1209" s="8"/>
      <c r="ER1209" s="8"/>
      <c r="ES1209" s="8"/>
      <c r="ET1209" s="8"/>
      <c r="EU1209" s="8"/>
      <c r="EV1209" s="8"/>
      <c r="EW1209" s="8"/>
      <c r="EX1209" s="8"/>
      <c r="EY1209" s="8"/>
      <c r="EZ1209" s="8"/>
      <c r="FA1209" s="8"/>
      <c r="FB1209" s="8"/>
      <c r="FC1209" s="8"/>
      <c r="FD1209" s="8"/>
      <c r="FE1209" s="8"/>
      <c r="FF1209" s="8"/>
      <c r="FG1209" s="8"/>
      <c r="FH1209" s="8"/>
      <c r="FI1209" s="8"/>
      <c r="FJ1209" s="8"/>
      <c r="FK1209" s="8"/>
      <c r="FL1209" s="8"/>
      <c r="FM1209" s="8"/>
      <c r="FN1209" s="8"/>
      <c r="FO1209" s="8"/>
      <c r="FP1209" s="8"/>
      <c r="FQ1209" s="8"/>
      <c r="FR1209" s="8"/>
      <c r="FS1209" s="8"/>
      <c r="FT1209" s="8"/>
      <c r="FU1209" s="8"/>
      <c r="FV1209" s="8"/>
      <c r="FW1209" s="8"/>
      <c r="FX1209" s="8"/>
      <c r="FY1209" s="8"/>
      <c r="FZ1209" s="8"/>
      <c r="GA1209" s="8"/>
      <c r="GB1209" s="8"/>
      <c r="GC1209" s="8"/>
      <c r="GD1209" s="8"/>
      <c r="GE1209" s="8"/>
      <c r="GF1209" s="8"/>
      <c r="GG1209" s="8"/>
      <c r="GH1209" s="8"/>
      <c r="GI1209" s="8"/>
      <c r="GJ1209" s="8"/>
      <c r="GK1209" s="8"/>
      <c r="GL1209" s="8"/>
      <c r="GM1209" s="8"/>
      <c r="GN1209" s="8"/>
      <c r="GO1209" s="8"/>
      <c r="GP1209" s="8"/>
      <c r="GQ1209" s="8"/>
      <c r="GR1209" s="8"/>
      <c r="GS1209" s="8"/>
      <c r="GT1209" s="8"/>
      <c r="GU1209" s="8"/>
      <c r="GV1209" s="8"/>
      <c r="GW1209" s="8"/>
      <c r="GX1209" s="8"/>
      <c r="GY1209" s="8"/>
      <c r="GZ1209" s="8"/>
      <c r="HA1209" s="8"/>
      <c r="HB1209" s="8"/>
      <c r="HC1209" s="8"/>
      <c r="HD1209" s="8"/>
      <c r="HE1209" s="8"/>
      <c r="HF1209" s="8"/>
      <c r="HG1209" s="8"/>
      <c r="HH1209" s="8"/>
      <c r="HI1209" s="8"/>
      <c r="HJ1209" s="8"/>
      <c r="HK1209" s="8"/>
      <c r="HL1209" s="8"/>
      <c r="HM1209" s="8"/>
      <c r="HN1209" s="8"/>
      <c r="HO1209" s="8"/>
      <c r="HP1209" s="8"/>
      <c r="HQ1209" s="8"/>
      <c r="HR1209" s="8"/>
      <c r="HS1209" s="8"/>
      <c r="HT1209" s="8"/>
      <c r="HU1209" s="8"/>
      <c r="HV1209" s="8"/>
      <c r="HW1209" s="8"/>
      <c r="HX1209" s="8"/>
      <c r="HY1209" s="8"/>
      <c r="HZ1209" s="8"/>
      <c r="IA1209" s="8"/>
      <c r="IB1209" s="8"/>
      <c r="IC1209" s="8"/>
      <c r="ID1209" s="8"/>
      <c r="IE1209" s="8"/>
      <c r="IF1209" s="8"/>
    </row>
    <row r="1210" spans="1:240" ht="30" customHeight="1">
      <c r="A1210" s="5">
        <v>1208</v>
      </c>
      <c r="B1210" s="5"/>
      <c r="C1210" s="5"/>
      <c r="D1210" s="5" t="s">
        <v>68</v>
      </c>
      <c r="E1210" s="5" t="s">
        <v>48</v>
      </c>
      <c r="F1210" s="5" t="s">
        <v>48</v>
      </c>
      <c r="G1210" s="5" t="s">
        <v>48</v>
      </c>
      <c r="H1210" s="15">
        <f>2490*0.454</f>
        <v>1130.46</v>
      </c>
      <c r="I1210" s="5" t="s">
        <v>13</v>
      </c>
      <c r="J1210" s="15">
        <f>81/4.4</f>
        <v>18.409090909090907</v>
      </c>
      <c r="K1210" s="15">
        <f t="shared" si="35"/>
        <v>5.5560000000000009</v>
      </c>
      <c r="L1210" s="24">
        <v>118.17204827070867</v>
      </c>
      <c r="M1210" s="5">
        <f t="shared" si="34"/>
        <v>3.8800000000000026</v>
      </c>
      <c r="N1210" s="5"/>
      <c r="O1210" s="15">
        <f>7020*1.6978</f>
        <v>11918.556</v>
      </c>
      <c r="P1210" s="5"/>
      <c r="Q1210" s="5"/>
      <c r="R1210" s="5">
        <v>1</v>
      </c>
      <c r="S1210" s="5"/>
      <c r="T1210" s="5"/>
      <c r="U1210" s="5"/>
      <c r="V1210" s="15">
        <f>1.5*0.7457</f>
        <v>1.1185499999999999</v>
      </c>
      <c r="W1210" s="5"/>
      <c r="X1210" s="5"/>
      <c r="Y1210" s="5" t="s">
        <v>48</v>
      </c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16" t="s">
        <v>48</v>
      </c>
      <c r="AN1210" s="5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  <c r="FD1210" s="8"/>
      <c r="FE1210" s="8"/>
      <c r="FF1210" s="8"/>
      <c r="FG1210" s="8"/>
      <c r="FH1210" s="8"/>
      <c r="FI1210" s="8"/>
      <c r="FJ1210" s="8"/>
      <c r="FK1210" s="8"/>
      <c r="FL1210" s="8"/>
      <c r="FM1210" s="8"/>
      <c r="FN1210" s="8"/>
      <c r="FO1210" s="8"/>
      <c r="FP1210" s="8"/>
      <c r="FQ1210" s="8"/>
      <c r="FR1210" s="8"/>
      <c r="FS1210" s="8"/>
      <c r="FT1210" s="8"/>
      <c r="FU1210" s="8"/>
      <c r="FV1210" s="8"/>
      <c r="FW1210" s="8"/>
      <c r="FX1210" s="8"/>
      <c r="FY1210" s="8"/>
      <c r="FZ1210" s="8"/>
      <c r="GA1210" s="8"/>
      <c r="GB1210" s="8"/>
      <c r="GC1210" s="8"/>
      <c r="GD1210" s="8"/>
      <c r="GE1210" s="8"/>
      <c r="GF1210" s="8"/>
      <c r="GG1210" s="8"/>
      <c r="GH1210" s="8"/>
      <c r="GI1210" s="8"/>
      <c r="GJ1210" s="8"/>
      <c r="GK1210" s="8"/>
      <c r="GL1210" s="8"/>
      <c r="GM1210" s="8"/>
      <c r="GN1210" s="8"/>
      <c r="GO1210" s="8"/>
      <c r="GP1210" s="8"/>
      <c r="GQ1210" s="8"/>
      <c r="GR1210" s="8"/>
      <c r="GS1210" s="8"/>
      <c r="GT1210" s="8"/>
      <c r="GU1210" s="8"/>
      <c r="GV1210" s="8"/>
      <c r="GW1210" s="8"/>
      <c r="GX1210" s="8"/>
      <c r="GY1210" s="8"/>
      <c r="GZ1210" s="8"/>
      <c r="HA1210" s="8"/>
      <c r="HB1210" s="8"/>
      <c r="HC1210" s="8"/>
      <c r="HD1210" s="8"/>
      <c r="HE1210" s="8"/>
      <c r="HF1210" s="8"/>
      <c r="HG1210" s="8"/>
      <c r="HH1210" s="8"/>
      <c r="HI1210" s="8"/>
      <c r="HJ1210" s="8"/>
      <c r="HK1210" s="8"/>
      <c r="HL1210" s="8"/>
      <c r="HM1210" s="8"/>
      <c r="HN1210" s="8"/>
      <c r="HO1210" s="8"/>
      <c r="HP1210" s="8"/>
      <c r="HQ1210" s="8"/>
      <c r="HR1210" s="8"/>
      <c r="HS1210" s="8"/>
      <c r="HT1210" s="8"/>
      <c r="HU1210" s="8"/>
      <c r="HV1210" s="8"/>
      <c r="HW1210" s="8"/>
      <c r="HX1210" s="8"/>
      <c r="HY1210" s="8"/>
      <c r="HZ1210" s="8"/>
      <c r="IA1210" s="8"/>
      <c r="IB1210" s="8"/>
      <c r="IC1210" s="8"/>
      <c r="ID1210" s="8"/>
      <c r="IE1210" s="8"/>
      <c r="IF1210" s="8"/>
    </row>
    <row r="1211" spans="1:240" ht="30" customHeight="1">
      <c r="A1211" s="5">
        <v>1209</v>
      </c>
      <c r="B1211" s="5"/>
      <c r="C1211" s="5"/>
      <c r="D1211" s="5" t="s">
        <v>68</v>
      </c>
      <c r="E1211" s="5" t="s">
        <v>48</v>
      </c>
      <c r="F1211" s="5" t="s">
        <v>48</v>
      </c>
      <c r="G1211" s="5" t="s">
        <v>48</v>
      </c>
      <c r="H1211" s="15">
        <f>2490*0.454</f>
        <v>1130.46</v>
      </c>
      <c r="I1211" s="5" t="s">
        <v>13</v>
      </c>
      <c r="J1211" s="15">
        <f>101/4.4</f>
        <v>22.954545454545453</v>
      </c>
      <c r="K1211" s="15">
        <f t="shared" si="35"/>
        <v>5.5560000000000009</v>
      </c>
      <c r="L1211" s="24">
        <v>147.35033179434046</v>
      </c>
      <c r="M1211" s="5">
        <f t="shared" si="34"/>
        <v>3.8800000000000026</v>
      </c>
      <c r="N1211" s="5"/>
      <c r="O1211" s="15">
        <f>8850*1.6978</f>
        <v>15025.53</v>
      </c>
      <c r="P1211" s="5"/>
      <c r="Q1211" s="5"/>
      <c r="R1211" s="5">
        <v>1</v>
      </c>
      <c r="S1211" s="5"/>
      <c r="T1211" s="5"/>
      <c r="U1211" s="5"/>
      <c r="V1211" s="15">
        <f>2*0.7457</f>
        <v>1.4914000000000001</v>
      </c>
      <c r="W1211" s="5"/>
      <c r="X1211" s="5"/>
      <c r="Y1211" s="5" t="s">
        <v>48</v>
      </c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16" t="s">
        <v>48</v>
      </c>
      <c r="AN1211" s="5"/>
      <c r="AO1211" s="8"/>
      <c r="AP1211" s="8"/>
      <c r="AQ1211" s="8"/>
      <c r="AR1211" s="8"/>
      <c r="AS1211" s="8"/>
      <c r="AT1211" s="8"/>
      <c r="AU1211" s="8"/>
      <c r="AV1211" s="8"/>
      <c r="AW1211" s="8"/>
      <c r="AX1211" s="8"/>
      <c r="AY1211" s="8"/>
      <c r="AZ1211" s="8"/>
      <c r="BA1211" s="8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8"/>
      <c r="BS1211" s="8"/>
      <c r="BT1211" s="8"/>
      <c r="BU1211" s="8"/>
      <c r="BV1211" s="8"/>
      <c r="BW1211" s="8"/>
      <c r="BX1211" s="8"/>
      <c r="BY1211" s="8"/>
      <c r="BZ1211" s="8"/>
      <c r="CA1211" s="8"/>
      <c r="CB1211" s="8"/>
      <c r="CC1211" s="8"/>
      <c r="CD1211" s="8"/>
      <c r="CE1211" s="8"/>
      <c r="CF1211" s="8"/>
      <c r="CG1211" s="8"/>
      <c r="CH1211" s="8"/>
      <c r="CI1211" s="8"/>
      <c r="CJ1211" s="8"/>
      <c r="CK1211" s="8"/>
      <c r="CL1211" s="8"/>
      <c r="CM1211" s="8"/>
      <c r="CN1211" s="8"/>
      <c r="CO1211" s="8"/>
      <c r="CP1211" s="8"/>
      <c r="CQ1211" s="8"/>
      <c r="CR1211" s="8"/>
      <c r="CS1211" s="8"/>
      <c r="CT1211" s="8"/>
      <c r="CU1211" s="8"/>
      <c r="CV1211" s="8"/>
      <c r="CW1211" s="8"/>
      <c r="CX1211" s="8"/>
      <c r="CY1211" s="8"/>
      <c r="CZ1211" s="8"/>
      <c r="DA1211" s="8"/>
      <c r="DB1211" s="8"/>
      <c r="DC1211" s="8"/>
      <c r="DD1211" s="8"/>
      <c r="DE1211" s="8"/>
      <c r="DF1211" s="8"/>
      <c r="DG1211" s="8"/>
      <c r="DH1211" s="8"/>
      <c r="DI1211" s="8"/>
      <c r="DJ1211" s="8"/>
      <c r="DK1211" s="8"/>
      <c r="DL1211" s="8"/>
      <c r="DM1211" s="8"/>
      <c r="DN1211" s="8"/>
      <c r="DO1211" s="8"/>
      <c r="DP1211" s="8"/>
      <c r="DQ1211" s="8"/>
      <c r="DR1211" s="8"/>
      <c r="DS1211" s="8"/>
      <c r="DT1211" s="8"/>
      <c r="DU1211" s="8"/>
      <c r="DV1211" s="8"/>
      <c r="DW1211" s="8"/>
      <c r="DX1211" s="8"/>
      <c r="DY1211" s="8"/>
      <c r="DZ1211" s="8"/>
      <c r="EA1211" s="8"/>
      <c r="EB1211" s="8"/>
      <c r="EC1211" s="8"/>
      <c r="ED1211" s="8"/>
      <c r="EE1211" s="8"/>
      <c r="EF1211" s="8"/>
      <c r="EG1211" s="8"/>
      <c r="EH1211" s="8"/>
      <c r="EI1211" s="8"/>
      <c r="EJ1211" s="8"/>
      <c r="EK1211" s="8"/>
      <c r="EL1211" s="8"/>
      <c r="EM1211" s="8"/>
      <c r="EN1211" s="8"/>
      <c r="EO1211" s="8"/>
      <c r="EP1211" s="8"/>
      <c r="EQ1211" s="8"/>
      <c r="ER1211" s="8"/>
      <c r="ES1211" s="8"/>
      <c r="ET1211" s="8"/>
      <c r="EU1211" s="8"/>
      <c r="EV1211" s="8"/>
      <c r="EW1211" s="8"/>
      <c r="EX1211" s="8"/>
      <c r="EY1211" s="8"/>
      <c r="EZ1211" s="8"/>
      <c r="FA1211" s="8"/>
      <c r="FB1211" s="8"/>
      <c r="FC1211" s="8"/>
      <c r="FD1211" s="8"/>
      <c r="FE1211" s="8"/>
      <c r="FF1211" s="8"/>
      <c r="FG1211" s="8"/>
      <c r="FH1211" s="8"/>
      <c r="FI1211" s="8"/>
      <c r="FJ1211" s="8"/>
      <c r="FK1211" s="8"/>
      <c r="FL1211" s="8"/>
      <c r="FM1211" s="8"/>
      <c r="FN1211" s="8"/>
      <c r="FO1211" s="8"/>
      <c r="FP1211" s="8"/>
      <c r="FQ1211" s="8"/>
      <c r="FR1211" s="8"/>
      <c r="FS1211" s="8"/>
      <c r="FT1211" s="8"/>
      <c r="FU1211" s="8"/>
      <c r="FV1211" s="8"/>
      <c r="FW1211" s="8"/>
      <c r="FX1211" s="8"/>
      <c r="FY1211" s="8"/>
      <c r="FZ1211" s="8"/>
      <c r="GA1211" s="8"/>
      <c r="GB1211" s="8"/>
      <c r="GC1211" s="8"/>
      <c r="GD1211" s="8"/>
      <c r="GE1211" s="8"/>
      <c r="GF1211" s="8"/>
      <c r="GG1211" s="8"/>
      <c r="GH1211" s="8"/>
      <c r="GI1211" s="8"/>
      <c r="GJ1211" s="8"/>
      <c r="GK1211" s="8"/>
      <c r="GL1211" s="8"/>
      <c r="GM1211" s="8"/>
      <c r="GN1211" s="8"/>
      <c r="GO1211" s="8"/>
      <c r="GP1211" s="8"/>
      <c r="GQ1211" s="8"/>
      <c r="GR1211" s="8"/>
      <c r="GS1211" s="8"/>
      <c r="GT1211" s="8"/>
      <c r="GU1211" s="8"/>
      <c r="GV1211" s="8"/>
      <c r="GW1211" s="8"/>
      <c r="GX1211" s="8"/>
      <c r="GY1211" s="8"/>
      <c r="GZ1211" s="8"/>
      <c r="HA1211" s="8"/>
      <c r="HB1211" s="8"/>
      <c r="HC1211" s="8"/>
      <c r="HD1211" s="8"/>
      <c r="HE1211" s="8"/>
      <c r="HF1211" s="8"/>
      <c r="HG1211" s="8"/>
      <c r="HH1211" s="8"/>
      <c r="HI1211" s="8"/>
      <c r="HJ1211" s="8"/>
      <c r="HK1211" s="8"/>
      <c r="HL1211" s="8"/>
      <c r="HM1211" s="8"/>
      <c r="HN1211" s="8"/>
      <c r="HO1211" s="8"/>
      <c r="HP1211" s="8"/>
      <c r="HQ1211" s="8"/>
      <c r="HR1211" s="8"/>
      <c r="HS1211" s="8"/>
      <c r="HT1211" s="8"/>
      <c r="HU1211" s="8"/>
      <c r="HV1211" s="8"/>
      <c r="HW1211" s="8"/>
      <c r="HX1211" s="8"/>
      <c r="HY1211" s="8"/>
      <c r="HZ1211" s="8"/>
      <c r="IA1211" s="8"/>
      <c r="IB1211" s="8"/>
      <c r="IC1211" s="8"/>
      <c r="ID1211" s="8"/>
      <c r="IE1211" s="8"/>
      <c r="IF1211" s="8"/>
    </row>
    <row r="1212" spans="1:240" ht="30" customHeight="1">
      <c r="A1212" s="5">
        <v>1210</v>
      </c>
      <c r="B1212" s="5"/>
      <c r="C1212" s="5"/>
      <c r="D1212" s="5" t="s">
        <v>68</v>
      </c>
      <c r="E1212" s="5" t="s">
        <v>48</v>
      </c>
      <c r="F1212" s="5" t="s">
        <v>48</v>
      </c>
      <c r="G1212" s="5" t="s">
        <v>48</v>
      </c>
      <c r="H1212" s="15">
        <f>2510*0.454</f>
        <v>1139.54</v>
      </c>
      <c r="I1212" s="5" t="s">
        <v>13</v>
      </c>
      <c r="J1212" s="15">
        <f>115/4.4</f>
        <v>26.136363636363633</v>
      </c>
      <c r="K1212" s="15">
        <f t="shared" si="35"/>
        <v>5.5560000000000009</v>
      </c>
      <c r="L1212" s="24">
        <v>167.77513026088266</v>
      </c>
      <c r="M1212" s="5">
        <f t="shared" si="34"/>
        <v>3.8800000000000026</v>
      </c>
      <c r="N1212" s="5"/>
      <c r="O1212" s="15">
        <f>10130*1.6978</f>
        <v>17198.714</v>
      </c>
      <c r="P1212" s="5"/>
      <c r="Q1212" s="5"/>
      <c r="R1212" s="5">
        <v>1</v>
      </c>
      <c r="S1212" s="5"/>
      <c r="T1212" s="5"/>
      <c r="U1212" s="5"/>
      <c r="V1212" s="15">
        <f>3*0.7457</f>
        <v>2.2370999999999999</v>
      </c>
      <c r="W1212" s="5"/>
      <c r="X1212" s="5"/>
      <c r="Y1212" s="5" t="s">
        <v>48</v>
      </c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16" t="s">
        <v>48</v>
      </c>
      <c r="AN1212" s="5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8"/>
      <c r="BS1212" s="8"/>
      <c r="BT1212" s="8"/>
      <c r="BU1212" s="8"/>
      <c r="BV1212" s="8"/>
      <c r="BW1212" s="8"/>
      <c r="BX1212" s="8"/>
      <c r="BY1212" s="8"/>
      <c r="BZ1212" s="8"/>
      <c r="CA1212" s="8"/>
      <c r="CB1212" s="8"/>
      <c r="CC1212" s="8"/>
      <c r="CD1212" s="8"/>
      <c r="CE1212" s="8"/>
      <c r="CF1212" s="8"/>
      <c r="CG1212" s="8"/>
      <c r="CH1212" s="8"/>
      <c r="CI1212" s="8"/>
      <c r="CJ1212" s="8"/>
      <c r="CK1212" s="8"/>
      <c r="CL1212" s="8"/>
      <c r="CM1212" s="8"/>
      <c r="CN1212" s="8"/>
      <c r="CO1212" s="8"/>
      <c r="CP1212" s="8"/>
      <c r="CQ1212" s="8"/>
      <c r="CR1212" s="8"/>
      <c r="CS1212" s="8"/>
      <c r="CT1212" s="8"/>
      <c r="CU1212" s="8"/>
      <c r="CV1212" s="8"/>
      <c r="CW1212" s="8"/>
      <c r="CX1212" s="8"/>
      <c r="CY1212" s="8"/>
      <c r="CZ1212" s="8"/>
      <c r="DA1212" s="8"/>
      <c r="DB1212" s="8"/>
      <c r="DC1212" s="8"/>
      <c r="DD1212" s="8"/>
      <c r="DE1212" s="8"/>
      <c r="DF1212" s="8"/>
      <c r="DG1212" s="8"/>
      <c r="DH1212" s="8"/>
      <c r="DI1212" s="8"/>
      <c r="DJ1212" s="8"/>
      <c r="DK1212" s="8"/>
      <c r="DL1212" s="8"/>
      <c r="DM1212" s="8"/>
      <c r="DN1212" s="8"/>
      <c r="DO1212" s="8"/>
      <c r="DP1212" s="8"/>
      <c r="DQ1212" s="8"/>
      <c r="DR1212" s="8"/>
      <c r="DS1212" s="8"/>
      <c r="DT1212" s="8"/>
      <c r="DU1212" s="8"/>
      <c r="DV1212" s="8"/>
      <c r="DW1212" s="8"/>
      <c r="DX1212" s="8"/>
      <c r="DY1212" s="8"/>
      <c r="DZ1212" s="8"/>
      <c r="EA1212" s="8"/>
      <c r="EB1212" s="8"/>
      <c r="EC1212" s="8"/>
      <c r="ED1212" s="8"/>
      <c r="EE1212" s="8"/>
      <c r="EF1212" s="8"/>
      <c r="EG1212" s="8"/>
      <c r="EH1212" s="8"/>
      <c r="EI1212" s="8"/>
      <c r="EJ1212" s="8"/>
      <c r="EK1212" s="8"/>
      <c r="EL1212" s="8"/>
      <c r="EM1212" s="8"/>
      <c r="EN1212" s="8"/>
      <c r="EO1212" s="8"/>
      <c r="EP1212" s="8"/>
      <c r="EQ1212" s="8"/>
      <c r="ER1212" s="8"/>
      <c r="ES1212" s="8"/>
      <c r="ET1212" s="8"/>
      <c r="EU1212" s="8"/>
      <c r="EV1212" s="8"/>
      <c r="EW1212" s="8"/>
      <c r="EX1212" s="8"/>
      <c r="EY1212" s="8"/>
      <c r="EZ1212" s="8"/>
      <c r="FA1212" s="8"/>
      <c r="FB1212" s="8"/>
      <c r="FC1212" s="8"/>
      <c r="FD1212" s="8"/>
      <c r="FE1212" s="8"/>
      <c r="FF1212" s="8"/>
      <c r="FG1212" s="8"/>
      <c r="FH1212" s="8"/>
      <c r="FI1212" s="8"/>
      <c r="FJ1212" s="8"/>
      <c r="FK1212" s="8"/>
      <c r="FL1212" s="8"/>
      <c r="FM1212" s="8"/>
      <c r="FN1212" s="8"/>
      <c r="FO1212" s="8"/>
      <c r="FP1212" s="8"/>
      <c r="FQ1212" s="8"/>
      <c r="FR1212" s="8"/>
      <c r="FS1212" s="8"/>
      <c r="FT1212" s="8"/>
      <c r="FU1212" s="8"/>
      <c r="FV1212" s="8"/>
      <c r="FW1212" s="8"/>
      <c r="FX1212" s="8"/>
      <c r="FY1212" s="8"/>
      <c r="FZ1212" s="8"/>
      <c r="GA1212" s="8"/>
      <c r="GB1212" s="8"/>
      <c r="GC1212" s="8"/>
      <c r="GD1212" s="8"/>
      <c r="GE1212" s="8"/>
      <c r="GF1212" s="8"/>
      <c r="GG1212" s="8"/>
      <c r="GH1212" s="8"/>
      <c r="GI1212" s="8"/>
      <c r="GJ1212" s="8"/>
      <c r="GK1212" s="8"/>
      <c r="GL1212" s="8"/>
      <c r="GM1212" s="8"/>
      <c r="GN1212" s="8"/>
      <c r="GO1212" s="8"/>
      <c r="GP1212" s="8"/>
      <c r="GQ1212" s="8"/>
      <c r="GR1212" s="8"/>
      <c r="GS1212" s="8"/>
      <c r="GT1212" s="8"/>
      <c r="GU1212" s="8"/>
      <c r="GV1212" s="8"/>
      <c r="GW1212" s="8"/>
      <c r="GX1212" s="8"/>
      <c r="GY1212" s="8"/>
      <c r="GZ1212" s="8"/>
      <c r="HA1212" s="8"/>
      <c r="HB1212" s="8"/>
      <c r="HC1212" s="8"/>
      <c r="HD1212" s="8"/>
      <c r="HE1212" s="8"/>
      <c r="HF1212" s="8"/>
      <c r="HG1212" s="8"/>
      <c r="HH1212" s="8"/>
      <c r="HI1212" s="8"/>
      <c r="HJ1212" s="8"/>
      <c r="HK1212" s="8"/>
      <c r="HL1212" s="8"/>
      <c r="HM1212" s="8"/>
      <c r="HN1212" s="8"/>
      <c r="HO1212" s="8"/>
      <c r="HP1212" s="8"/>
      <c r="HQ1212" s="8"/>
      <c r="HR1212" s="8"/>
      <c r="HS1212" s="8"/>
      <c r="HT1212" s="8"/>
      <c r="HU1212" s="8"/>
      <c r="HV1212" s="8"/>
      <c r="HW1212" s="8"/>
      <c r="HX1212" s="8"/>
      <c r="HY1212" s="8"/>
      <c r="HZ1212" s="8"/>
      <c r="IA1212" s="8"/>
      <c r="IB1212" s="8"/>
      <c r="IC1212" s="8"/>
      <c r="ID1212" s="8"/>
      <c r="IE1212" s="8"/>
      <c r="IF1212" s="8"/>
    </row>
    <row r="1213" spans="1:240" ht="30" customHeight="1">
      <c r="A1213" s="5">
        <v>1211</v>
      </c>
      <c r="B1213" s="5"/>
      <c r="C1213" s="5"/>
      <c r="D1213" s="5" t="s">
        <v>68</v>
      </c>
      <c r="E1213" s="5" t="s">
        <v>48</v>
      </c>
      <c r="F1213" s="5" t="s">
        <v>48</v>
      </c>
      <c r="G1213" s="5" t="s">
        <v>48</v>
      </c>
      <c r="H1213" s="15">
        <f>2590*0.454</f>
        <v>1175.8600000000001</v>
      </c>
      <c r="I1213" s="5" t="s">
        <v>13</v>
      </c>
      <c r="J1213" s="15">
        <f>128/4.4</f>
        <v>29.09090909090909</v>
      </c>
      <c r="K1213" s="15">
        <f t="shared" si="35"/>
        <v>5.5560000000000009</v>
      </c>
      <c r="L1213" s="24">
        <v>186.74101455124335</v>
      </c>
      <c r="M1213" s="5">
        <f t="shared" si="34"/>
        <v>3.8800000000000026</v>
      </c>
      <c r="N1213" s="5"/>
      <c r="O1213" s="15">
        <f>9940*1.6978</f>
        <v>16876.132000000001</v>
      </c>
      <c r="P1213" s="5"/>
      <c r="Q1213" s="5"/>
      <c r="R1213" s="5">
        <v>1</v>
      </c>
      <c r="S1213" s="5"/>
      <c r="T1213" s="5"/>
      <c r="U1213" s="5"/>
      <c r="V1213" s="15">
        <f>3*0.7457</f>
        <v>2.2370999999999999</v>
      </c>
      <c r="W1213" s="5"/>
      <c r="X1213" s="5"/>
      <c r="Y1213" s="5" t="s">
        <v>48</v>
      </c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16" t="s">
        <v>48</v>
      </c>
      <c r="AN1213" s="5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  <c r="EV1213" s="8"/>
      <c r="EW1213" s="8"/>
      <c r="EX1213" s="8"/>
      <c r="EY1213" s="8"/>
      <c r="EZ1213" s="8"/>
      <c r="FA1213" s="8"/>
      <c r="FB1213" s="8"/>
      <c r="FC1213" s="8"/>
      <c r="FD1213" s="8"/>
      <c r="FE1213" s="8"/>
      <c r="FF1213" s="8"/>
      <c r="FG1213" s="8"/>
      <c r="FH1213" s="8"/>
      <c r="FI1213" s="8"/>
      <c r="FJ1213" s="8"/>
      <c r="FK1213" s="8"/>
      <c r="FL1213" s="8"/>
      <c r="FM1213" s="8"/>
      <c r="FN1213" s="8"/>
      <c r="FO1213" s="8"/>
      <c r="FP1213" s="8"/>
      <c r="FQ1213" s="8"/>
      <c r="FR1213" s="8"/>
      <c r="FS1213" s="8"/>
      <c r="FT1213" s="8"/>
      <c r="FU1213" s="8"/>
      <c r="FV1213" s="8"/>
      <c r="FW1213" s="8"/>
      <c r="FX1213" s="8"/>
      <c r="FY1213" s="8"/>
      <c r="FZ1213" s="8"/>
      <c r="GA1213" s="8"/>
      <c r="GB1213" s="8"/>
      <c r="GC1213" s="8"/>
      <c r="GD1213" s="8"/>
      <c r="GE1213" s="8"/>
      <c r="GF1213" s="8"/>
      <c r="GG1213" s="8"/>
      <c r="GH1213" s="8"/>
      <c r="GI1213" s="8"/>
      <c r="GJ1213" s="8"/>
      <c r="GK1213" s="8"/>
      <c r="GL1213" s="8"/>
      <c r="GM1213" s="8"/>
      <c r="GN1213" s="8"/>
      <c r="GO1213" s="8"/>
      <c r="GP1213" s="8"/>
      <c r="GQ1213" s="8"/>
      <c r="GR1213" s="8"/>
      <c r="GS1213" s="8"/>
      <c r="GT1213" s="8"/>
      <c r="GU1213" s="8"/>
      <c r="GV1213" s="8"/>
      <c r="GW1213" s="8"/>
      <c r="GX1213" s="8"/>
      <c r="GY1213" s="8"/>
      <c r="GZ1213" s="8"/>
      <c r="HA1213" s="8"/>
      <c r="HB1213" s="8"/>
      <c r="HC1213" s="8"/>
      <c r="HD1213" s="8"/>
      <c r="HE1213" s="8"/>
      <c r="HF1213" s="8"/>
      <c r="HG1213" s="8"/>
      <c r="HH1213" s="8"/>
      <c r="HI1213" s="8"/>
      <c r="HJ1213" s="8"/>
      <c r="HK1213" s="8"/>
      <c r="HL1213" s="8"/>
      <c r="HM1213" s="8"/>
      <c r="HN1213" s="8"/>
      <c r="HO1213" s="8"/>
      <c r="HP1213" s="8"/>
      <c r="HQ1213" s="8"/>
      <c r="HR1213" s="8"/>
      <c r="HS1213" s="8"/>
      <c r="HT1213" s="8"/>
      <c r="HU1213" s="8"/>
      <c r="HV1213" s="8"/>
      <c r="HW1213" s="8"/>
      <c r="HX1213" s="8"/>
      <c r="HY1213" s="8"/>
      <c r="HZ1213" s="8"/>
      <c r="IA1213" s="8"/>
      <c r="IB1213" s="8"/>
      <c r="IC1213" s="8"/>
      <c r="ID1213" s="8"/>
      <c r="IE1213" s="8"/>
      <c r="IF1213" s="8"/>
    </row>
    <row r="1214" spans="1:240" ht="30" customHeight="1">
      <c r="A1214" s="5">
        <v>1212</v>
      </c>
      <c r="B1214" s="5"/>
      <c r="C1214" s="5"/>
      <c r="D1214" s="5" t="s">
        <v>68</v>
      </c>
      <c r="E1214" s="5" t="s">
        <v>48</v>
      </c>
      <c r="F1214" s="5" t="s">
        <v>48</v>
      </c>
      <c r="G1214" s="5" t="s">
        <v>48</v>
      </c>
      <c r="H1214" s="15">
        <f>2600*0.454</f>
        <v>1180.4000000000001</v>
      </c>
      <c r="I1214" s="5" t="s">
        <v>13</v>
      </c>
      <c r="J1214" s="15">
        <f>149/4.4</f>
        <v>33.86363636363636</v>
      </c>
      <c r="K1214" s="15">
        <f t="shared" si="35"/>
        <v>5.5560000000000009</v>
      </c>
      <c r="L1214" s="24">
        <v>217.37821225105671</v>
      </c>
      <c r="M1214" s="5">
        <f t="shared" si="34"/>
        <v>3.8800000000000026</v>
      </c>
      <c r="N1214" s="5"/>
      <c r="O1214" s="15">
        <f>11780*1.6978</f>
        <v>20000.083999999999</v>
      </c>
      <c r="P1214" s="5"/>
      <c r="Q1214" s="5"/>
      <c r="R1214" s="5">
        <v>1</v>
      </c>
      <c r="S1214" s="5"/>
      <c r="T1214" s="5"/>
      <c r="U1214" s="5"/>
      <c r="V1214" s="15">
        <f>5*0.7457</f>
        <v>3.7285000000000004</v>
      </c>
      <c r="W1214" s="5"/>
      <c r="X1214" s="5"/>
      <c r="Y1214" s="5" t="s">
        <v>48</v>
      </c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16" t="s">
        <v>48</v>
      </c>
      <c r="AN1214" s="5"/>
      <c r="AO1214" s="8"/>
      <c r="AP1214" s="8"/>
      <c r="AQ1214" s="8"/>
      <c r="AR1214" s="8"/>
      <c r="AS1214" s="8"/>
      <c r="AT1214" s="8"/>
      <c r="AU1214" s="8"/>
      <c r="AV1214" s="8"/>
      <c r="AW1214" s="8"/>
      <c r="AX1214" s="8"/>
      <c r="AY1214" s="8"/>
      <c r="AZ1214" s="8"/>
      <c r="BA1214" s="8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8"/>
      <c r="BS1214" s="8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8"/>
      <c r="CI1214" s="8"/>
      <c r="CJ1214" s="8"/>
      <c r="CK1214" s="8"/>
      <c r="CL1214" s="8"/>
      <c r="CM1214" s="8"/>
      <c r="CN1214" s="8"/>
      <c r="CO1214" s="8"/>
      <c r="CP1214" s="8"/>
      <c r="CQ1214" s="8"/>
      <c r="CR1214" s="8"/>
      <c r="CS1214" s="8"/>
      <c r="CT1214" s="8"/>
      <c r="CU1214" s="8"/>
      <c r="CV1214" s="8"/>
      <c r="CW1214" s="8"/>
      <c r="CX1214" s="8"/>
      <c r="CY1214" s="8"/>
      <c r="CZ1214" s="8"/>
      <c r="DA1214" s="8"/>
      <c r="DB1214" s="8"/>
      <c r="DC1214" s="8"/>
      <c r="DD1214" s="8"/>
      <c r="DE1214" s="8"/>
      <c r="DF1214" s="8"/>
      <c r="DG1214" s="8"/>
      <c r="DH1214" s="8"/>
      <c r="DI1214" s="8"/>
      <c r="DJ1214" s="8"/>
      <c r="DK1214" s="8"/>
      <c r="DL1214" s="8"/>
      <c r="DM1214" s="8"/>
      <c r="DN1214" s="8"/>
      <c r="DO1214" s="8"/>
      <c r="DP1214" s="8"/>
      <c r="DQ1214" s="8"/>
      <c r="DR1214" s="8"/>
      <c r="DS1214" s="8"/>
      <c r="DT1214" s="8"/>
      <c r="DU1214" s="8"/>
      <c r="DV1214" s="8"/>
      <c r="DW1214" s="8"/>
      <c r="DX1214" s="8"/>
      <c r="DY1214" s="8"/>
      <c r="DZ1214" s="8"/>
      <c r="EA1214" s="8"/>
      <c r="EB1214" s="8"/>
      <c r="EC1214" s="8"/>
      <c r="ED1214" s="8"/>
      <c r="EE1214" s="8"/>
      <c r="EF1214" s="8"/>
      <c r="EG1214" s="8"/>
      <c r="EH1214" s="8"/>
      <c r="EI1214" s="8"/>
      <c r="EJ1214" s="8"/>
      <c r="EK1214" s="8"/>
      <c r="EL1214" s="8"/>
      <c r="EM1214" s="8"/>
      <c r="EN1214" s="8"/>
      <c r="EO1214" s="8"/>
      <c r="EP1214" s="8"/>
      <c r="EQ1214" s="8"/>
      <c r="ER1214" s="8"/>
      <c r="ES1214" s="8"/>
      <c r="ET1214" s="8"/>
      <c r="EU1214" s="8"/>
      <c r="EV1214" s="8"/>
      <c r="EW1214" s="8"/>
      <c r="EX1214" s="8"/>
      <c r="EY1214" s="8"/>
      <c r="EZ1214" s="8"/>
      <c r="FA1214" s="8"/>
      <c r="FB1214" s="8"/>
      <c r="FC1214" s="8"/>
      <c r="FD1214" s="8"/>
      <c r="FE1214" s="8"/>
      <c r="FF1214" s="8"/>
      <c r="FG1214" s="8"/>
      <c r="FH1214" s="8"/>
      <c r="FI1214" s="8"/>
      <c r="FJ1214" s="8"/>
      <c r="FK1214" s="8"/>
      <c r="FL1214" s="8"/>
      <c r="FM1214" s="8"/>
      <c r="FN1214" s="8"/>
      <c r="FO1214" s="8"/>
      <c r="FP1214" s="8"/>
      <c r="FQ1214" s="8"/>
      <c r="FR1214" s="8"/>
      <c r="FS1214" s="8"/>
      <c r="FT1214" s="8"/>
      <c r="FU1214" s="8"/>
      <c r="FV1214" s="8"/>
      <c r="FW1214" s="8"/>
      <c r="FX1214" s="8"/>
      <c r="FY1214" s="8"/>
      <c r="FZ1214" s="8"/>
      <c r="GA1214" s="8"/>
      <c r="GB1214" s="8"/>
      <c r="GC1214" s="8"/>
      <c r="GD1214" s="8"/>
      <c r="GE1214" s="8"/>
      <c r="GF1214" s="8"/>
      <c r="GG1214" s="8"/>
      <c r="GH1214" s="8"/>
      <c r="GI1214" s="8"/>
      <c r="GJ1214" s="8"/>
      <c r="GK1214" s="8"/>
      <c r="GL1214" s="8"/>
      <c r="GM1214" s="8"/>
      <c r="GN1214" s="8"/>
      <c r="GO1214" s="8"/>
      <c r="GP1214" s="8"/>
      <c r="GQ1214" s="8"/>
      <c r="GR1214" s="8"/>
      <c r="GS1214" s="8"/>
      <c r="GT1214" s="8"/>
      <c r="GU1214" s="8"/>
      <c r="GV1214" s="8"/>
      <c r="GW1214" s="8"/>
      <c r="GX1214" s="8"/>
      <c r="GY1214" s="8"/>
      <c r="GZ1214" s="8"/>
      <c r="HA1214" s="8"/>
      <c r="HB1214" s="8"/>
      <c r="HC1214" s="8"/>
      <c r="HD1214" s="8"/>
      <c r="HE1214" s="8"/>
      <c r="HF1214" s="8"/>
      <c r="HG1214" s="8"/>
      <c r="HH1214" s="8"/>
      <c r="HI1214" s="8"/>
      <c r="HJ1214" s="8"/>
      <c r="HK1214" s="8"/>
      <c r="HL1214" s="8"/>
      <c r="HM1214" s="8"/>
      <c r="HN1214" s="8"/>
      <c r="HO1214" s="8"/>
      <c r="HP1214" s="8"/>
      <c r="HQ1214" s="8"/>
      <c r="HR1214" s="8"/>
      <c r="HS1214" s="8"/>
      <c r="HT1214" s="8"/>
      <c r="HU1214" s="8"/>
      <c r="HV1214" s="8"/>
      <c r="HW1214" s="8"/>
      <c r="HX1214" s="8"/>
      <c r="HY1214" s="8"/>
      <c r="HZ1214" s="8"/>
      <c r="IA1214" s="8"/>
      <c r="IB1214" s="8"/>
      <c r="IC1214" s="8"/>
      <c r="ID1214" s="8"/>
      <c r="IE1214" s="8"/>
      <c r="IF1214" s="8"/>
    </row>
    <row r="1215" spans="1:240" ht="30" customHeight="1">
      <c r="A1215" s="5">
        <v>1213</v>
      </c>
      <c r="B1215" s="5"/>
      <c r="C1215" s="5"/>
      <c r="D1215" s="5" t="s">
        <v>68</v>
      </c>
      <c r="E1215" s="5" t="s">
        <v>48</v>
      </c>
      <c r="F1215" s="5" t="s">
        <v>48</v>
      </c>
      <c r="G1215" s="5" t="s">
        <v>48</v>
      </c>
      <c r="H1215" s="15">
        <f>2640*0.454</f>
        <v>1198.56</v>
      </c>
      <c r="I1215" s="5" t="s">
        <v>13</v>
      </c>
      <c r="J1215" s="15">
        <f>168/4.4</f>
        <v>38.18181818181818</v>
      </c>
      <c r="K1215" s="15">
        <f t="shared" si="35"/>
        <v>5.5560000000000009</v>
      </c>
      <c r="L1215" s="24">
        <v>245.09758159850691</v>
      </c>
      <c r="M1215" s="5">
        <f t="shared" si="34"/>
        <v>3.8800000000000026</v>
      </c>
      <c r="N1215" s="5"/>
      <c r="O1215" s="15">
        <f>13490*1.6978</f>
        <v>22903.322</v>
      </c>
      <c r="P1215" s="5"/>
      <c r="Q1215" s="5"/>
      <c r="R1215" s="5">
        <v>1</v>
      </c>
      <c r="S1215" s="5"/>
      <c r="T1215" s="5"/>
      <c r="U1215" s="5"/>
      <c r="V1215" s="15">
        <f>7.5*0.7457</f>
        <v>5.5927500000000006</v>
      </c>
      <c r="W1215" s="5"/>
      <c r="X1215" s="5"/>
      <c r="Y1215" s="5" t="s">
        <v>48</v>
      </c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16" t="s">
        <v>48</v>
      </c>
      <c r="AN1215" s="5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8"/>
      <c r="BS1215" s="8"/>
      <c r="BT1215" s="8"/>
      <c r="BU1215" s="8"/>
      <c r="BV1215" s="8"/>
      <c r="BW1215" s="8"/>
      <c r="BX1215" s="8"/>
      <c r="BY1215" s="8"/>
      <c r="BZ1215" s="8"/>
      <c r="CA1215" s="8"/>
      <c r="CB1215" s="8"/>
      <c r="CC1215" s="8"/>
      <c r="CD1215" s="8"/>
      <c r="CE1215" s="8"/>
      <c r="CF1215" s="8"/>
      <c r="CG1215" s="8"/>
      <c r="CH1215" s="8"/>
      <c r="CI1215" s="8"/>
      <c r="CJ1215" s="8"/>
      <c r="CK1215" s="8"/>
      <c r="CL1215" s="8"/>
      <c r="CM1215" s="8"/>
      <c r="CN1215" s="8"/>
      <c r="CO1215" s="8"/>
      <c r="CP1215" s="8"/>
      <c r="CQ1215" s="8"/>
      <c r="CR1215" s="8"/>
      <c r="CS1215" s="8"/>
      <c r="CT1215" s="8"/>
      <c r="CU1215" s="8"/>
      <c r="CV1215" s="8"/>
      <c r="CW1215" s="8"/>
      <c r="CX1215" s="8"/>
      <c r="CY1215" s="8"/>
      <c r="CZ1215" s="8"/>
      <c r="DA1215" s="8"/>
      <c r="DB1215" s="8"/>
      <c r="DC1215" s="8"/>
      <c r="DD1215" s="8"/>
      <c r="DE1215" s="8"/>
      <c r="DF1215" s="8"/>
      <c r="DG1215" s="8"/>
      <c r="DH1215" s="8"/>
      <c r="DI1215" s="8"/>
      <c r="DJ1215" s="8"/>
      <c r="DK1215" s="8"/>
      <c r="DL1215" s="8"/>
      <c r="DM1215" s="8"/>
      <c r="DN1215" s="8"/>
      <c r="DO1215" s="8"/>
      <c r="DP1215" s="8"/>
      <c r="DQ1215" s="8"/>
      <c r="DR1215" s="8"/>
      <c r="DS1215" s="8"/>
      <c r="DT1215" s="8"/>
      <c r="DU1215" s="8"/>
      <c r="DV1215" s="8"/>
      <c r="DW1215" s="8"/>
      <c r="DX1215" s="8"/>
      <c r="DY1215" s="8"/>
      <c r="DZ1215" s="8"/>
      <c r="EA1215" s="8"/>
      <c r="EB1215" s="8"/>
      <c r="EC1215" s="8"/>
      <c r="ED1215" s="8"/>
      <c r="EE1215" s="8"/>
      <c r="EF1215" s="8"/>
      <c r="EG1215" s="8"/>
      <c r="EH1215" s="8"/>
      <c r="EI1215" s="8"/>
      <c r="EJ1215" s="8"/>
      <c r="EK1215" s="8"/>
      <c r="EL1215" s="8"/>
      <c r="EM1215" s="8"/>
      <c r="EN1215" s="8"/>
      <c r="EO1215" s="8"/>
      <c r="EP1215" s="8"/>
      <c r="EQ1215" s="8"/>
      <c r="ER1215" s="8"/>
      <c r="ES1215" s="8"/>
      <c r="ET1215" s="8"/>
      <c r="EU1215" s="8"/>
      <c r="EV1215" s="8"/>
      <c r="EW1215" s="8"/>
      <c r="EX1215" s="8"/>
      <c r="EY1215" s="8"/>
      <c r="EZ1215" s="8"/>
      <c r="FA1215" s="8"/>
      <c r="FB1215" s="8"/>
      <c r="FC1215" s="8"/>
      <c r="FD1215" s="8"/>
      <c r="FE1215" s="8"/>
      <c r="FF1215" s="8"/>
      <c r="FG1215" s="8"/>
      <c r="FH1215" s="8"/>
      <c r="FI1215" s="8"/>
      <c r="FJ1215" s="8"/>
      <c r="FK1215" s="8"/>
      <c r="FL1215" s="8"/>
      <c r="FM1215" s="8"/>
      <c r="FN1215" s="8"/>
      <c r="FO1215" s="8"/>
      <c r="FP1215" s="8"/>
      <c r="FQ1215" s="8"/>
      <c r="FR1215" s="8"/>
      <c r="FS1215" s="8"/>
      <c r="FT1215" s="8"/>
      <c r="FU1215" s="8"/>
      <c r="FV1215" s="8"/>
      <c r="FW1215" s="8"/>
      <c r="FX1215" s="8"/>
      <c r="FY1215" s="8"/>
      <c r="FZ1215" s="8"/>
      <c r="GA1215" s="8"/>
      <c r="GB1215" s="8"/>
      <c r="GC1215" s="8"/>
      <c r="GD1215" s="8"/>
      <c r="GE1215" s="8"/>
      <c r="GF1215" s="8"/>
      <c r="GG1215" s="8"/>
      <c r="GH1215" s="8"/>
      <c r="GI1215" s="8"/>
      <c r="GJ1215" s="8"/>
      <c r="GK1215" s="8"/>
      <c r="GL1215" s="8"/>
      <c r="GM1215" s="8"/>
      <c r="GN1215" s="8"/>
      <c r="GO1215" s="8"/>
      <c r="GP1215" s="8"/>
      <c r="GQ1215" s="8"/>
      <c r="GR1215" s="8"/>
      <c r="GS1215" s="8"/>
      <c r="GT1215" s="8"/>
      <c r="GU1215" s="8"/>
      <c r="GV1215" s="8"/>
      <c r="GW1215" s="8"/>
      <c r="GX1215" s="8"/>
      <c r="GY1215" s="8"/>
      <c r="GZ1215" s="8"/>
      <c r="HA1215" s="8"/>
      <c r="HB1215" s="8"/>
      <c r="HC1215" s="8"/>
      <c r="HD1215" s="8"/>
      <c r="HE1215" s="8"/>
      <c r="HF1215" s="8"/>
      <c r="HG1215" s="8"/>
      <c r="HH1215" s="8"/>
      <c r="HI1215" s="8"/>
      <c r="HJ1215" s="8"/>
      <c r="HK1215" s="8"/>
      <c r="HL1215" s="8"/>
      <c r="HM1215" s="8"/>
      <c r="HN1215" s="8"/>
      <c r="HO1215" s="8"/>
      <c r="HP1215" s="8"/>
      <c r="HQ1215" s="8"/>
      <c r="HR1215" s="8"/>
      <c r="HS1215" s="8"/>
      <c r="HT1215" s="8"/>
      <c r="HU1215" s="8"/>
      <c r="HV1215" s="8"/>
      <c r="HW1215" s="8"/>
      <c r="HX1215" s="8"/>
      <c r="HY1215" s="8"/>
      <c r="HZ1215" s="8"/>
      <c r="IA1215" s="8"/>
      <c r="IB1215" s="8"/>
      <c r="IC1215" s="8"/>
      <c r="ID1215" s="8"/>
      <c r="IE1215" s="8"/>
      <c r="IF1215" s="8"/>
    </row>
    <row r="1216" spans="1:240" ht="30" customHeight="1">
      <c r="A1216" s="5">
        <v>1214</v>
      </c>
      <c r="B1216" s="5"/>
      <c r="C1216" s="5"/>
      <c r="D1216" s="5" t="s">
        <v>68</v>
      </c>
      <c r="E1216" s="5" t="s">
        <v>48</v>
      </c>
      <c r="F1216" s="5" t="s">
        <v>48</v>
      </c>
      <c r="G1216" s="5" t="s">
        <v>48</v>
      </c>
      <c r="H1216" s="15">
        <f>4040*0.454</f>
        <v>1834.16</v>
      </c>
      <c r="I1216" s="5" t="s">
        <v>13</v>
      </c>
      <c r="J1216" s="15">
        <f>173/4.4</f>
        <v>39.318181818181813</v>
      </c>
      <c r="K1216" s="15">
        <f t="shared" si="35"/>
        <v>5.5560000000000009</v>
      </c>
      <c r="L1216" s="24">
        <v>252.39215247941482</v>
      </c>
      <c r="M1216" s="5">
        <f t="shared" si="34"/>
        <v>3.8800000000000026</v>
      </c>
      <c r="N1216" s="5"/>
      <c r="O1216" s="15">
        <f>14880*1.6978</f>
        <v>25263.263999999999</v>
      </c>
      <c r="P1216" s="5"/>
      <c r="Q1216" s="5"/>
      <c r="R1216" s="5">
        <v>1</v>
      </c>
      <c r="S1216" s="5"/>
      <c r="T1216" s="5"/>
      <c r="U1216" s="5"/>
      <c r="V1216" s="15">
        <f>3*0.7457</f>
        <v>2.2370999999999999</v>
      </c>
      <c r="W1216" s="5"/>
      <c r="X1216" s="5"/>
      <c r="Y1216" s="5" t="s">
        <v>48</v>
      </c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16" t="s">
        <v>48</v>
      </c>
      <c r="AN1216" s="5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8"/>
      <c r="BS1216" s="8"/>
      <c r="BT1216" s="8"/>
      <c r="BU1216" s="8"/>
      <c r="BV1216" s="8"/>
      <c r="BW1216" s="8"/>
      <c r="BX1216" s="8"/>
      <c r="BY1216" s="8"/>
      <c r="BZ1216" s="8"/>
      <c r="CA1216" s="8"/>
      <c r="CB1216" s="8"/>
      <c r="CC1216" s="8"/>
      <c r="CD1216" s="8"/>
      <c r="CE1216" s="8"/>
      <c r="CF1216" s="8"/>
      <c r="CG1216" s="8"/>
      <c r="CH1216" s="8"/>
      <c r="CI1216" s="8"/>
      <c r="CJ1216" s="8"/>
      <c r="CK1216" s="8"/>
      <c r="CL1216" s="8"/>
      <c r="CM1216" s="8"/>
      <c r="CN1216" s="8"/>
      <c r="CO1216" s="8"/>
      <c r="CP1216" s="8"/>
      <c r="CQ1216" s="8"/>
      <c r="CR1216" s="8"/>
      <c r="CS1216" s="8"/>
      <c r="CT1216" s="8"/>
      <c r="CU1216" s="8"/>
      <c r="CV1216" s="8"/>
      <c r="CW1216" s="8"/>
      <c r="CX1216" s="8"/>
      <c r="CY1216" s="8"/>
      <c r="CZ1216" s="8"/>
      <c r="DA1216" s="8"/>
      <c r="DB1216" s="8"/>
      <c r="DC1216" s="8"/>
      <c r="DD1216" s="8"/>
      <c r="DE1216" s="8"/>
      <c r="DF1216" s="8"/>
      <c r="DG1216" s="8"/>
      <c r="DH1216" s="8"/>
      <c r="DI1216" s="8"/>
      <c r="DJ1216" s="8"/>
      <c r="DK1216" s="8"/>
      <c r="DL1216" s="8"/>
      <c r="DM1216" s="8"/>
      <c r="DN1216" s="8"/>
      <c r="DO1216" s="8"/>
      <c r="DP1216" s="8"/>
      <c r="DQ1216" s="8"/>
      <c r="DR1216" s="8"/>
      <c r="DS1216" s="8"/>
      <c r="DT1216" s="8"/>
      <c r="DU1216" s="8"/>
      <c r="DV1216" s="8"/>
      <c r="DW1216" s="8"/>
      <c r="DX1216" s="8"/>
      <c r="DY1216" s="8"/>
      <c r="DZ1216" s="8"/>
      <c r="EA1216" s="8"/>
      <c r="EB1216" s="8"/>
      <c r="EC1216" s="8"/>
      <c r="ED1216" s="8"/>
      <c r="EE1216" s="8"/>
      <c r="EF1216" s="8"/>
      <c r="EG1216" s="8"/>
      <c r="EH1216" s="8"/>
      <c r="EI1216" s="8"/>
      <c r="EJ1216" s="8"/>
      <c r="EK1216" s="8"/>
      <c r="EL1216" s="8"/>
      <c r="EM1216" s="8"/>
      <c r="EN1216" s="8"/>
      <c r="EO1216" s="8"/>
      <c r="EP1216" s="8"/>
      <c r="EQ1216" s="8"/>
      <c r="ER1216" s="8"/>
      <c r="ES1216" s="8"/>
      <c r="ET1216" s="8"/>
      <c r="EU1216" s="8"/>
      <c r="EV1216" s="8"/>
      <c r="EW1216" s="8"/>
      <c r="EX1216" s="8"/>
      <c r="EY1216" s="8"/>
      <c r="EZ1216" s="8"/>
      <c r="FA1216" s="8"/>
      <c r="FB1216" s="8"/>
      <c r="FC1216" s="8"/>
      <c r="FD1216" s="8"/>
      <c r="FE1216" s="8"/>
      <c r="FF1216" s="8"/>
      <c r="FG1216" s="8"/>
      <c r="FH1216" s="8"/>
      <c r="FI1216" s="8"/>
      <c r="FJ1216" s="8"/>
      <c r="FK1216" s="8"/>
      <c r="FL1216" s="8"/>
      <c r="FM1216" s="8"/>
      <c r="FN1216" s="8"/>
      <c r="FO1216" s="8"/>
      <c r="FP1216" s="8"/>
      <c r="FQ1216" s="8"/>
      <c r="FR1216" s="8"/>
      <c r="FS1216" s="8"/>
      <c r="FT1216" s="8"/>
      <c r="FU1216" s="8"/>
      <c r="FV1216" s="8"/>
      <c r="FW1216" s="8"/>
      <c r="FX1216" s="8"/>
      <c r="FY1216" s="8"/>
      <c r="FZ1216" s="8"/>
      <c r="GA1216" s="8"/>
      <c r="GB1216" s="8"/>
      <c r="GC1216" s="8"/>
      <c r="GD1216" s="8"/>
      <c r="GE1216" s="8"/>
      <c r="GF1216" s="8"/>
      <c r="GG1216" s="8"/>
      <c r="GH1216" s="8"/>
      <c r="GI1216" s="8"/>
      <c r="GJ1216" s="8"/>
      <c r="GK1216" s="8"/>
      <c r="GL1216" s="8"/>
      <c r="GM1216" s="8"/>
      <c r="GN1216" s="8"/>
      <c r="GO1216" s="8"/>
      <c r="GP1216" s="8"/>
      <c r="GQ1216" s="8"/>
      <c r="GR1216" s="8"/>
      <c r="GS1216" s="8"/>
      <c r="GT1216" s="8"/>
      <c r="GU1216" s="8"/>
      <c r="GV1216" s="8"/>
      <c r="GW1216" s="8"/>
      <c r="GX1216" s="8"/>
      <c r="GY1216" s="8"/>
      <c r="GZ1216" s="8"/>
      <c r="HA1216" s="8"/>
      <c r="HB1216" s="8"/>
      <c r="HC1216" s="8"/>
      <c r="HD1216" s="8"/>
      <c r="HE1216" s="8"/>
      <c r="HF1216" s="8"/>
      <c r="HG1216" s="8"/>
      <c r="HH1216" s="8"/>
      <c r="HI1216" s="8"/>
      <c r="HJ1216" s="8"/>
      <c r="HK1216" s="8"/>
      <c r="HL1216" s="8"/>
      <c r="HM1216" s="8"/>
      <c r="HN1216" s="8"/>
      <c r="HO1216" s="8"/>
      <c r="HP1216" s="8"/>
      <c r="HQ1216" s="8"/>
      <c r="HR1216" s="8"/>
      <c r="HS1216" s="8"/>
      <c r="HT1216" s="8"/>
      <c r="HU1216" s="8"/>
      <c r="HV1216" s="8"/>
      <c r="HW1216" s="8"/>
      <c r="HX1216" s="8"/>
      <c r="HY1216" s="8"/>
      <c r="HZ1216" s="8"/>
      <c r="IA1216" s="8"/>
      <c r="IB1216" s="8"/>
      <c r="IC1216" s="8"/>
      <c r="ID1216" s="8"/>
      <c r="IE1216" s="8"/>
      <c r="IF1216" s="8"/>
    </row>
    <row r="1217" spans="1:240" ht="30" customHeight="1">
      <c r="A1217" s="5">
        <v>1215</v>
      </c>
      <c r="B1217" s="5"/>
      <c r="C1217" s="5"/>
      <c r="D1217" s="5" t="s">
        <v>68</v>
      </c>
      <c r="E1217" s="5" t="s">
        <v>48</v>
      </c>
      <c r="F1217" s="5" t="s">
        <v>48</v>
      </c>
      <c r="G1217" s="5" t="s">
        <v>48</v>
      </c>
      <c r="H1217" s="15">
        <f>4050*0.454</f>
        <v>1838.7</v>
      </c>
      <c r="I1217" s="5" t="s">
        <v>13</v>
      </c>
      <c r="J1217" s="15">
        <f>203/4.4</f>
        <v>46.136363636363633</v>
      </c>
      <c r="K1217" s="15">
        <f t="shared" si="35"/>
        <v>5.5560000000000009</v>
      </c>
      <c r="L1217" s="24">
        <v>296.15957776486249</v>
      </c>
      <c r="M1217" s="5">
        <f t="shared" si="34"/>
        <v>3.8800000000000026</v>
      </c>
      <c r="N1217" s="5"/>
      <c r="O1217" s="15">
        <f>17640*1.6978</f>
        <v>29949.191999999999</v>
      </c>
      <c r="P1217" s="5"/>
      <c r="Q1217" s="5"/>
      <c r="R1217" s="5">
        <v>1</v>
      </c>
      <c r="S1217" s="5"/>
      <c r="T1217" s="5"/>
      <c r="U1217" s="5"/>
      <c r="V1217" s="15">
        <f>5*0.7457</f>
        <v>3.7285000000000004</v>
      </c>
      <c r="W1217" s="5"/>
      <c r="X1217" s="5"/>
      <c r="Y1217" s="5" t="s">
        <v>48</v>
      </c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16" t="s">
        <v>48</v>
      </c>
      <c r="AN1217" s="5"/>
      <c r="AO1217" s="8"/>
      <c r="AP1217" s="8"/>
      <c r="AQ1217" s="8"/>
      <c r="AR1217" s="8"/>
      <c r="AS1217" s="8"/>
      <c r="AT1217" s="8"/>
      <c r="AU1217" s="8"/>
      <c r="AV1217" s="8"/>
      <c r="AW1217" s="8"/>
      <c r="AX1217" s="8"/>
      <c r="AY1217" s="8"/>
      <c r="AZ1217" s="8"/>
      <c r="BA1217" s="8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8"/>
      <c r="BS1217" s="8"/>
      <c r="BT1217" s="8"/>
      <c r="BU1217" s="8"/>
      <c r="BV1217" s="8"/>
      <c r="BW1217" s="8"/>
      <c r="BX1217" s="8"/>
      <c r="BY1217" s="8"/>
      <c r="BZ1217" s="8"/>
      <c r="CA1217" s="8"/>
      <c r="CB1217" s="8"/>
      <c r="CC1217" s="8"/>
      <c r="CD1217" s="8"/>
      <c r="CE1217" s="8"/>
      <c r="CF1217" s="8"/>
      <c r="CG1217" s="8"/>
      <c r="CH1217" s="8"/>
      <c r="CI1217" s="8"/>
      <c r="CJ1217" s="8"/>
      <c r="CK1217" s="8"/>
      <c r="CL1217" s="8"/>
      <c r="CM1217" s="8"/>
      <c r="CN1217" s="8"/>
      <c r="CO1217" s="8"/>
      <c r="CP1217" s="8"/>
      <c r="CQ1217" s="8"/>
      <c r="CR1217" s="8"/>
      <c r="CS1217" s="8"/>
      <c r="CT1217" s="8"/>
      <c r="CU1217" s="8"/>
      <c r="CV1217" s="8"/>
      <c r="CW1217" s="8"/>
      <c r="CX1217" s="8"/>
      <c r="CY1217" s="8"/>
      <c r="CZ1217" s="8"/>
      <c r="DA1217" s="8"/>
      <c r="DB1217" s="8"/>
      <c r="DC1217" s="8"/>
      <c r="DD1217" s="8"/>
      <c r="DE1217" s="8"/>
      <c r="DF1217" s="8"/>
      <c r="DG1217" s="8"/>
      <c r="DH1217" s="8"/>
      <c r="DI1217" s="8"/>
      <c r="DJ1217" s="8"/>
      <c r="DK1217" s="8"/>
      <c r="DL1217" s="8"/>
      <c r="DM1217" s="8"/>
      <c r="DN1217" s="8"/>
      <c r="DO1217" s="8"/>
      <c r="DP1217" s="8"/>
      <c r="DQ1217" s="8"/>
      <c r="DR1217" s="8"/>
      <c r="DS1217" s="8"/>
      <c r="DT1217" s="8"/>
      <c r="DU1217" s="8"/>
      <c r="DV1217" s="8"/>
      <c r="DW1217" s="8"/>
      <c r="DX1217" s="8"/>
      <c r="DY1217" s="8"/>
      <c r="DZ1217" s="8"/>
      <c r="EA1217" s="8"/>
      <c r="EB1217" s="8"/>
      <c r="EC1217" s="8"/>
      <c r="ED1217" s="8"/>
      <c r="EE1217" s="8"/>
      <c r="EF1217" s="8"/>
      <c r="EG1217" s="8"/>
      <c r="EH1217" s="8"/>
      <c r="EI1217" s="8"/>
      <c r="EJ1217" s="8"/>
      <c r="EK1217" s="8"/>
      <c r="EL1217" s="8"/>
      <c r="EM1217" s="8"/>
      <c r="EN1217" s="8"/>
      <c r="EO1217" s="8"/>
      <c r="EP1217" s="8"/>
      <c r="EQ1217" s="8"/>
      <c r="ER1217" s="8"/>
      <c r="ES1217" s="8"/>
      <c r="ET1217" s="8"/>
      <c r="EU1217" s="8"/>
      <c r="EV1217" s="8"/>
      <c r="EW1217" s="8"/>
      <c r="EX1217" s="8"/>
      <c r="EY1217" s="8"/>
      <c r="EZ1217" s="8"/>
      <c r="FA1217" s="8"/>
      <c r="FB1217" s="8"/>
      <c r="FC1217" s="8"/>
      <c r="FD1217" s="8"/>
      <c r="FE1217" s="8"/>
      <c r="FF1217" s="8"/>
      <c r="FG1217" s="8"/>
      <c r="FH1217" s="8"/>
      <c r="FI1217" s="8"/>
      <c r="FJ1217" s="8"/>
      <c r="FK1217" s="8"/>
      <c r="FL1217" s="8"/>
      <c r="FM1217" s="8"/>
      <c r="FN1217" s="8"/>
      <c r="FO1217" s="8"/>
      <c r="FP1217" s="8"/>
      <c r="FQ1217" s="8"/>
      <c r="FR1217" s="8"/>
      <c r="FS1217" s="8"/>
      <c r="FT1217" s="8"/>
      <c r="FU1217" s="8"/>
      <c r="FV1217" s="8"/>
      <c r="FW1217" s="8"/>
      <c r="FX1217" s="8"/>
      <c r="FY1217" s="8"/>
      <c r="FZ1217" s="8"/>
      <c r="GA1217" s="8"/>
      <c r="GB1217" s="8"/>
      <c r="GC1217" s="8"/>
      <c r="GD1217" s="8"/>
      <c r="GE1217" s="8"/>
      <c r="GF1217" s="8"/>
      <c r="GG1217" s="8"/>
      <c r="GH1217" s="8"/>
      <c r="GI1217" s="8"/>
      <c r="GJ1217" s="8"/>
      <c r="GK1217" s="8"/>
      <c r="GL1217" s="8"/>
      <c r="GM1217" s="8"/>
      <c r="GN1217" s="8"/>
      <c r="GO1217" s="8"/>
      <c r="GP1217" s="8"/>
      <c r="GQ1217" s="8"/>
      <c r="GR1217" s="8"/>
      <c r="GS1217" s="8"/>
      <c r="GT1217" s="8"/>
      <c r="GU1217" s="8"/>
      <c r="GV1217" s="8"/>
      <c r="GW1217" s="8"/>
      <c r="GX1217" s="8"/>
      <c r="GY1217" s="8"/>
      <c r="GZ1217" s="8"/>
      <c r="HA1217" s="8"/>
      <c r="HB1217" s="8"/>
      <c r="HC1217" s="8"/>
      <c r="HD1217" s="8"/>
      <c r="HE1217" s="8"/>
      <c r="HF1217" s="8"/>
      <c r="HG1217" s="8"/>
      <c r="HH1217" s="8"/>
      <c r="HI1217" s="8"/>
      <c r="HJ1217" s="8"/>
      <c r="HK1217" s="8"/>
      <c r="HL1217" s="8"/>
      <c r="HM1217" s="8"/>
      <c r="HN1217" s="8"/>
      <c r="HO1217" s="8"/>
      <c r="HP1217" s="8"/>
      <c r="HQ1217" s="8"/>
      <c r="HR1217" s="8"/>
      <c r="HS1217" s="8"/>
      <c r="HT1217" s="8"/>
      <c r="HU1217" s="8"/>
      <c r="HV1217" s="8"/>
      <c r="HW1217" s="8"/>
      <c r="HX1217" s="8"/>
      <c r="HY1217" s="8"/>
      <c r="HZ1217" s="8"/>
      <c r="IA1217" s="8"/>
      <c r="IB1217" s="8"/>
      <c r="IC1217" s="8"/>
      <c r="ID1217" s="8"/>
      <c r="IE1217" s="8"/>
      <c r="IF1217" s="8"/>
    </row>
    <row r="1218" spans="1:240" ht="30" customHeight="1">
      <c r="A1218" s="5">
        <v>1216</v>
      </c>
      <c r="B1218" s="5"/>
      <c r="C1218" s="5"/>
      <c r="D1218" s="5" t="s">
        <v>68</v>
      </c>
      <c r="E1218" s="5" t="s">
        <v>48</v>
      </c>
      <c r="F1218" s="5" t="s">
        <v>48</v>
      </c>
      <c r="G1218" s="5" t="s">
        <v>48</v>
      </c>
      <c r="H1218" s="15">
        <f>4190*0.454</f>
        <v>1902.26</v>
      </c>
      <c r="I1218" s="5" t="s">
        <v>13</v>
      </c>
      <c r="J1218" s="15">
        <f>216/4.4</f>
        <v>49.090909090909086</v>
      </c>
      <c r="K1218" s="15">
        <f t="shared" si="35"/>
        <v>5.5560000000000009</v>
      </c>
      <c r="L1218" s="24">
        <v>315.12546205522312</v>
      </c>
      <c r="M1218" s="5">
        <f t="shared" si="34"/>
        <v>3.8800000000000026</v>
      </c>
      <c r="N1218" s="5"/>
      <c r="O1218" s="15">
        <f>14560*1.6978</f>
        <v>24719.968000000001</v>
      </c>
      <c r="P1218" s="5"/>
      <c r="Q1218" s="5"/>
      <c r="R1218" s="5">
        <v>1</v>
      </c>
      <c r="S1218" s="5"/>
      <c r="T1218" s="5"/>
      <c r="U1218" s="5"/>
      <c r="V1218" s="15">
        <f>3*0.7457</f>
        <v>2.2370999999999999</v>
      </c>
      <c r="W1218" s="5"/>
      <c r="X1218" s="5"/>
      <c r="Y1218" s="5" t="s">
        <v>48</v>
      </c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16" t="s">
        <v>48</v>
      </c>
      <c r="AN1218" s="5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8"/>
      <c r="BS1218" s="8"/>
      <c r="BT1218" s="8"/>
      <c r="BU1218" s="8"/>
      <c r="BV1218" s="8"/>
      <c r="BW1218" s="8"/>
      <c r="BX1218" s="8"/>
      <c r="BY1218" s="8"/>
      <c r="BZ1218" s="8"/>
      <c r="CA1218" s="8"/>
      <c r="CB1218" s="8"/>
      <c r="CC1218" s="8"/>
      <c r="CD1218" s="8"/>
      <c r="CE1218" s="8"/>
      <c r="CF1218" s="8"/>
      <c r="CG1218" s="8"/>
      <c r="CH1218" s="8"/>
      <c r="CI1218" s="8"/>
      <c r="CJ1218" s="8"/>
      <c r="CK1218" s="8"/>
      <c r="CL1218" s="8"/>
      <c r="CM1218" s="8"/>
      <c r="CN1218" s="8"/>
      <c r="CO1218" s="8"/>
      <c r="CP1218" s="8"/>
      <c r="CQ1218" s="8"/>
      <c r="CR1218" s="8"/>
      <c r="CS1218" s="8"/>
      <c r="CT1218" s="8"/>
      <c r="CU1218" s="8"/>
      <c r="CV1218" s="8"/>
      <c r="CW1218" s="8"/>
      <c r="CX1218" s="8"/>
      <c r="CY1218" s="8"/>
      <c r="CZ1218" s="8"/>
      <c r="DA1218" s="8"/>
      <c r="DB1218" s="8"/>
      <c r="DC1218" s="8"/>
      <c r="DD1218" s="8"/>
      <c r="DE1218" s="8"/>
      <c r="DF1218" s="8"/>
      <c r="DG1218" s="8"/>
      <c r="DH1218" s="8"/>
      <c r="DI1218" s="8"/>
      <c r="DJ1218" s="8"/>
      <c r="DK1218" s="8"/>
      <c r="DL1218" s="8"/>
      <c r="DM1218" s="8"/>
      <c r="DN1218" s="8"/>
      <c r="DO1218" s="8"/>
      <c r="DP1218" s="8"/>
      <c r="DQ1218" s="8"/>
      <c r="DR1218" s="8"/>
      <c r="DS1218" s="8"/>
      <c r="DT1218" s="8"/>
      <c r="DU1218" s="8"/>
      <c r="DV1218" s="8"/>
      <c r="DW1218" s="8"/>
      <c r="DX1218" s="8"/>
      <c r="DY1218" s="8"/>
      <c r="DZ1218" s="8"/>
      <c r="EA1218" s="8"/>
      <c r="EB1218" s="8"/>
      <c r="EC1218" s="8"/>
      <c r="ED1218" s="8"/>
      <c r="EE1218" s="8"/>
      <c r="EF1218" s="8"/>
      <c r="EG1218" s="8"/>
      <c r="EH1218" s="8"/>
      <c r="EI1218" s="8"/>
      <c r="EJ1218" s="8"/>
      <c r="EK1218" s="8"/>
      <c r="EL1218" s="8"/>
      <c r="EM1218" s="8"/>
      <c r="EN1218" s="8"/>
      <c r="EO1218" s="8"/>
      <c r="EP1218" s="8"/>
      <c r="EQ1218" s="8"/>
      <c r="ER1218" s="8"/>
      <c r="ES1218" s="8"/>
      <c r="ET1218" s="8"/>
      <c r="EU1218" s="8"/>
      <c r="EV1218" s="8"/>
      <c r="EW1218" s="8"/>
      <c r="EX1218" s="8"/>
      <c r="EY1218" s="8"/>
      <c r="EZ1218" s="8"/>
      <c r="FA1218" s="8"/>
      <c r="FB1218" s="8"/>
      <c r="FC1218" s="8"/>
      <c r="FD1218" s="8"/>
      <c r="FE1218" s="8"/>
      <c r="FF1218" s="8"/>
      <c r="FG1218" s="8"/>
      <c r="FH1218" s="8"/>
      <c r="FI1218" s="8"/>
      <c r="FJ1218" s="8"/>
      <c r="FK1218" s="8"/>
      <c r="FL1218" s="8"/>
      <c r="FM1218" s="8"/>
      <c r="FN1218" s="8"/>
      <c r="FO1218" s="8"/>
      <c r="FP1218" s="8"/>
      <c r="FQ1218" s="8"/>
      <c r="FR1218" s="8"/>
      <c r="FS1218" s="8"/>
      <c r="FT1218" s="8"/>
      <c r="FU1218" s="8"/>
      <c r="FV1218" s="8"/>
      <c r="FW1218" s="8"/>
      <c r="FX1218" s="8"/>
      <c r="FY1218" s="8"/>
      <c r="FZ1218" s="8"/>
      <c r="GA1218" s="8"/>
      <c r="GB1218" s="8"/>
      <c r="GC1218" s="8"/>
      <c r="GD1218" s="8"/>
      <c r="GE1218" s="8"/>
      <c r="GF1218" s="8"/>
      <c r="GG1218" s="8"/>
      <c r="GH1218" s="8"/>
      <c r="GI1218" s="8"/>
      <c r="GJ1218" s="8"/>
      <c r="GK1218" s="8"/>
      <c r="GL1218" s="8"/>
      <c r="GM1218" s="8"/>
      <c r="GN1218" s="8"/>
      <c r="GO1218" s="8"/>
      <c r="GP1218" s="8"/>
      <c r="GQ1218" s="8"/>
      <c r="GR1218" s="8"/>
      <c r="GS1218" s="8"/>
      <c r="GT1218" s="8"/>
      <c r="GU1218" s="8"/>
      <c r="GV1218" s="8"/>
      <c r="GW1218" s="8"/>
      <c r="GX1218" s="8"/>
      <c r="GY1218" s="8"/>
      <c r="GZ1218" s="8"/>
      <c r="HA1218" s="8"/>
      <c r="HB1218" s="8"/>
      <c r="HC1218" s="8"/>
      <c r="HD1218" s="8"/>
      <c r="HE1218" s="8"/>
      <c r="HF1218" s="8"/>
      <c r="HG1218" s="8"/>
      <c r="HH1218" s="8"/>
      <c r="HI1218" s="8"/>
      <c r="HJ1218" s="8"/>
      <c r="HK1218" s="8"/>
      <c r="HL1218" s="8"/>
      <c r="HM1218" s="8"/>
      <c r="HN1218" s="8"/>
      <c r="HO1218" s="8"/>
      <c r="HP1218" s="8"/>
      <c r="HQ1218" s="8"/>
      <c r="HR1218" s="8"/>
      <c r="HS1218" s="8"/>
      <c r="HT1218" s="8"/>
      <c r="HU1218" s="8"/>
      <c r="HV1218" s="8"/>
      <c r="HW1218" s="8"/>
      <c r="HX1218" s="8"/>
      <c r="HY1218" s="8"/>
      <c r="HZ1218" s="8"/>
      <c r="IA1218" s="8"/>
      <c r="IB1218" s="8"/>
      <c r="IC1218" s="8"/>
      <c r="ID1218" s="8"/>
      <c r="IE1218" s="8"/>
      <c r="IF1218" s="8"/>
    </row>
    <row r="1219" spans="1:240" ht="30" customHeight="1">
      <c r="A1219" s="5">
        <v>1217</v>
      </c>
      <c r="B1219" s="5"/>
      <c r="C1219" s="5"/>
      <c r="D1219" s="5" t="s">
        <v>68</v>
      </c>
      <c r="E1219" s="5" t="s">
        <v>48</v>
      </c>
      <c r="F1219" s="5" t="s">
        <v>48</v>
      </c>
      <c r="G1219" s="5" t="s">
        <v>48</v>
      </c>
      <c r="H1219" s="15">
        <f>4130*0.454</f>
        <v>1875.02</v>
      </c>
      <c r="I1219" s="5" t="s">
        <v>13</v>
      </c>
      <c r="J1219" s="15">
        <f>225/4.4</f>
        <v>51.136363636363633</v>
      </c>
      <c r="K1219" s="15">
        <f t="shared" si="35"/>
        <v>5.5560000000000009</v>
      </c>
      <c r="L1219" s="24">
        <v>328.25568964085744</v>
      </c>
      <c r="M1219" s="5">
        <f t="shared" si="34"/>
        <v>3.8800000000000026</v>
      </c>
      <c r="N1219" s="5"/>
      <c r="O1219" s="15">
        <f>17320*1.6978</f>
        <v>29405.896000000001</v>
      </c>
      <c r="P1219" s="5"/>
      <c r="Q1219" s="5"/>
      <c r="R1219" s="5">
        <v>1</v>
      </c>
      <c r="S1219" s="5"/>
      <c r="T1219" s="5"/>
      <c r="U1219" s="5"/>
      <c r="V1219" s="15">
        <f>5*0.7457</f>
        <v>3.7285000000000004</v>
      </c>
      <c r="W1219" s="5"/>
      <c r="X1219" s="5"/>
      <c r="Y1219" s="5" t="s">
        <v>48</v>
      </c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16" t="s">
        <v>48</v>
      </c>
      <c r="AN1219" s="5"/>
      <c r="AO1219" s="8"/>
      <c r="AP1219" s="8"/>
      <c r="AQ1219" s="8"/>
      <c r="AR1219" s="8"/>
      <c r="AS1219" s="8"/>
      <c r="AT1219" s="8"/>
      <c r="AU1219" s="8"/>
      <c r="AV1219" s="8"/>
      <c r="AW1219" s="8"/>
      <c r="AX1219" s="8"/>
      <c r="AY1219" s="8"/>
      <c r="AZ1219" s="8"/>
      <c r="BA1219" s="8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8"/>
      <c r="BS1219" s="8"/>
      <c r="BT1219" s="8"/>
      <c r="BU1219" s="8"/>
      <c r="BV1219" s="8"/>
      <c r="BW1219" s="8"/>
      <c r="BX1219" s="8"/>
      <c r="BY1219" s="8"/>
      <c r="BZ1219" s="8"/>
      <c r="CA1219" s="8"/>
      <c r="CB1219" s="8"/>
      <c r="CC1219" s="8"/>
      <c r="CD1219" s="8"/>
      <c r="CE1219" s="8"/>
      <c r="CF1219" s="8"/>
      <c r="CG1219" s="8"/>
      <c r="CH1219" s="8"/>
      <c r="CI1219" s="8"/>
      <c r="CJ1219" s="8"/>
      <c r="CK1219" s="8"/>
      <c r="CL1219" s="8"/>
      <c r="CM1219" s="8"/>
      <c r="CN1219" s="8"/>
      <c r="CO1219" s="8"/>
      <c r="CP1219" s="8"/>
      <c r="CQ1219" s="8"/>
      <c r="CR1219" s="8"/>
      <c r="CS1219" s="8"/>
      <c r="CT1219" s="8"/>
      <c r="CU1219" s="8"/>
      <c r="CV1219" s="8"/>
      <c r="CW1219" s="8"/>
      <c r="CX1219" s="8"/>
      <c r="CY1219" s="8"/>
      <c r="CZ1219" s="8"/>
      <c r="DA1219" s="8"/>
      <c r="DB1219" s="8"/>
      <c r="DC1219" s="8"/>
      <c r="DD1219" s="8"/>
      <c r="DE1219" s="8"/>
      <c r="DF1219" s="8"/>
      <c r="DG1219" s="8"/>
      <c r="DH1219" s="8"/>
      <c r="DI1219" s="8"/>
      <c r="DJ1219" s="8"/>
      <c r="DK1219" s="8"/>
      <c r="DL1219" s="8"/>
      <c r="DM1219" s="8"/>
      <c r="DN1219" s="8"/>
      <c r="DO1219" s="8"/>
      <c r="DP1219" s="8"/>
      <c r="DQ1219" s="8"/>
      <c r="DR1219" s="8"/>
      <c r="DS1219" s="8"/>
      <c r="DT1219" s="8"/>
      <c r="DU1219" s="8"/>
      <c r="DV1219" s="8"/>
      <c r="DW1219" s="8"/>
      <c r="DX1219" s="8"/>
      <c r="DY1219" s="8"/>
      <c r="DZ1219" s="8"/>
      <c r="EA1219" s="8"/>
      <c r="EB1219" s="8"/>
      <c r="EC1219" s="8"/>
      <c r="ED1219" s="8"/>
      <c r="EE1219" s="8"/>
      <c r="EF1219" s="8"/>
      <c r="EG1219" s="8"/>
      <c r="EH1219" s="8"/>
      <c r="EI1219" s="8"/>
      <c r="EJ1219" s="8"/>
      <c r="EK1219" s="8"/>
      <c r="EL1219" s="8"/>
      <c r="EM1219" s="8"/>
      <c r="EN1219" s="8"/>
      <c r="EO1219" s="8"/>
      <c r="EP1219" s="8"/>
      <c r="EQ1219" s="8"/>
      <c r="ER1219" s="8"/>
      <c r="ES1219" s="8"/>
      <c r="ET1219" s="8"/>
      <c r="EU1219" s="8"/>
      <c r="EV1219" s="8"/>
      <c r="EW1219" s="8"/>
      <c r="EX1219" s="8"/>
      <c r="EY1219" s="8"/>
      <c r="EZ1219" s="8"/>
      <c r="FA1219" s="8"/>
      <c r="FB1219" s="8"/>
      <c r="FC1219" s="8"/>
      <c r="FD1219" s="8"/>
      <c r="FE1219" s="8"/>
      <c r="FF1219" s="8"/>
      <c r="FG1219" s="8"/>
      <c r="FH1219" s="8"/>
      <c r="FI1219" s="8"/>
      <c r="FJ1219" s="8"/>
      <c r="FK1219" s="8"/>
      <c r="FL1219" s="8"/>
      <c r="FM1219" s="8"/>
      <c r="FN1219" s="8"/>
      <c r="FO1219" s="8"/>
      <c r="FP1219" s="8"/>
      <c r="FQ1219" s="8"/>
      <c r="FR1219" s="8"/>
      <c r="FS1219" s="8"/>
      <c r="FT1219" s="8"/>
      <c r="FU1219" s="8"/>
      <c r="FV1219" s="8"/>
      <c r="FW1219" s="8"/>
      <c r="FX1219" s="8"/>
      <c r="FY1219" s="8"/>
      <c r="FZ1219" s="8"/>
      <c r="GA1219" s="8"/>
      <c r="GB1219" s="8"/>
      <c r="GC1219" s="8"/>
      <c r="GD1219" s="8"/>
      <c r="GE1219" s="8"/>
      <c r="GF1219" s="8"/>
      <c r="GG1219" s="8"/>
      <c r="GH1219" s="8"/>
      <c r="GI1219" s="8"/>
      <c r="GJ1219" s="8"/>
      <c r="GK1219" s="8"/>
      <c r="GL1219" s="8"/>
      <c r="GM1219" s="8"/>
      <c r="GN1219" s="8"/>
      <c r="GO1219" s="8"/>
      <c r="GP1219" s="8"/>
      <c r="GQ1219" s="8"/>
      <c r="GR1219" s="8"/>
      <c r="GS1219" s="8"/>
      <c r="GT1219" s="8"/>
      <c r="GU1219" s="8"/>
      <c r="GV1219" s="8"/>
      <c r="GW1219" s="8"/>
      <c r="GX1219" s="8"/>
      <c r="GY1219" s="8"/>
      <c r="GZ1219" s="8"/>
      <c r="HA1219" s="8"/>
      <c r="HB1219" s="8"/>
      <c r="HC1219" s="8"/>
      <c r="HD1219" s="8"/>
      <c r="HE1219" s="8"/>
      <c r="HF1219" s="8"/>
      <c r="HG1219" s="8"/>
      <c r="HH1219" s="8"/>
      <c r="HI1219" s="8"/>
      <c r="HJ1219" s="8"/>
      <c r="HK1219" s="8"/>
      <c r="HL1219" s="8"/>
      <c r="HM1219" s="8"/>
      <c r="HN1219" s="8"/>
      <c r="HO1219" s="8"/>
      <c r="HP1219" s="8"/>
      <c r="HQ1219" s="8"/>
      <c r="HR1219" s="8"/>
      <c r="HS1219" s="8"/>
      <c r="HT1219" s="8"/>
      <c r="HU1219" s="8"/>
      <c r="HV1219" s="8"/>
      <c r="HW1219" s="8"/>
      <c r="HX1219" s="8"/>
      <c r="HY1219" s="8"/>
      <c r="HZ1219" s="8"/>
      <c r="IA1219" s="8"/>
      <c r="IB1219" s="8"/>
      <c r="IC1219" s="8"/>
      <c r="ID1219" s="8"/>
      <c r="IE1219" s="8"/>
      <c r="IF1219" s="8"/>
    </row>
    <row r="1220" spans="1:240" ht="30" customHeight="1">
      <c r="A1220" s="5">
        <v>1218</v>
      </c>
      <c r="B1220" s="5"/>
      <c r="C1220" s="5"/>
      <c r="D1220" s="5" t="s">
        <v>68</v>
      </c>
      <c r="E1220" s="5" t="s">
        <v>48</v>
      </c>
      <c r="F1220" s="5" t="s">
        <v>48</v>
      </c>
      <c r="G1220" s="5" t="s">
        <v>48</v>
      </c>
      <c r="H1220" s="15">
        <f>4100*0.454</f>
        <v>1861.4</v>
      </c>
      <c r="I1220" s="5" t="s">
        <v>13</v>
      </c>
      <c r="J1220" s="15">
        <f>230/4.4</f>
        <v>52.272727272727266</v>
      </c>
      <c r="K1220" s="15">
        <f t="shared" si="35"/>
        <v>5.5560000000000009</v>
      </c>
      <c r="L1220" s="24">
        <v>335.55026052176532</v>
      </c>
      <c r="M1220" s="5">
        <f t="shared" si="34"/>
        <v>3.8800000000000026</v>
      </c>
      <c r="N1220" s="5"/>
      <c r="O1220" s="15">
        <f>20210*1.6978</f>
        <v>34312.538</v>
      </c>
      <c r="P1220" s="5"/>
      <c r="Q1220" s="5"/>
      <c r="R1220" s="5">
        <v>1</v>
      </c>
      <c r="S1220" s="5"/>
      <c r="T1220" s="5"/>
      <c r="U1220" s="5"/>
      <c r="V1220" s="15">
        <f>7.5*0.7457</f>
        <v>5.5927500000000006</v>
      </c>
      <c r="W1220" s="5"/>
      <c r="X1220" s="5"/>
      <c r="Y1220" s="5" t="s">
        <v>48</v>
      </c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16" t="s">
        <v>48</v>
      </c>
      <c r="AN1220" s="5"/>
      <c r="AO1220" s="8"/>
      <c r="AP1220" s="8"/>
      <c r="AQ1220" s="8"/>
      <c r="AR1220" s="8"/>
      <c r="AS1220" s="8"/>
      <c r="AT1220" s="8"/>
      <c r="AU1220" s="8"/>
      <c r="AV1220" s="8"/>
      <c r="AW1220" s="8"/>
      <c r="AX1220" s="8"/>
      <c r="AY1220" s="8"/>
      <c r="AZ1220" s="8"/>
      <c r="BA1220" s="8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8"/>
      <c r="BS1220" s="8"/>
      <c r="BT1220" s="8"/>
      <c r="BU1220" s="8"/>
      <c r="BV1220" s="8"/>
      <c r="BW1220" s="8"/>
      <c r="BX1220" s="8"/>
      <c r="BY1220" s="8"/>
      <c r="BZ1220" s="8"/>
      <c r="CA1220" s="8"/>
      <c r="CB1220" s="8"/>
      <c r="CC1220" s="8"/>
      <c r="CD1220" s="8"/>
      <c r="CE1220" s="8"/>
      <c r="CF1220" s="8"/>
      <c r="CG1220" s="8"/>
      <c r="CH1220" s="8"/>
      <c r="CI1220" s="8"/>
      <c r="CJ1220" s="8"/>
      <c r="CK1220" s="8"/>
      <c r="CL1220" s="8"/>
      <c r="CM1220" s="8"/>
      <c r="CN1220" s="8"/>
      <c r="CO1220" s="8"/>
      <c r="CP1220" s="8"/>
      <c r="CQ1220" s="8"/>
      <c r="CR1220" s="8"/>
      <c r="CS1220" s="8"/>
      <c r="CT1220" s="8"/>
      <c r="CU1220" s="8"/>
      <c r="CV1220" s="8"/>
      <c r="CW1220" s="8"/>
      <c r="CX1220" s="8"/>
      <c r="CY1220" s="8"/>
      <c r="CZ1220" s="8"/>
      <c r="DA1220" s="8"/>
      <c r="DB1220" s="8"/>
      <c r="DC1220" s="8"/>
      <c r="DD1220" s="8"/>
      <c r="DE1220" s="8"/>
      <c r="DF1220" s="8"/>
      <c r="DG1220" s="8"/>
      <c r="DH1220" s="8"/>
      <c r="DI1220" s="8"/>
      <c r="DJ1220" s="8"/>
      <c r="DK1220" s="8"/>
      <c r="DL1220" s="8"/>
      <c r="DM1220" s="8"/>
      <c r="DN1220" s="8"/>
      <c r="DO1220" s="8"/>
      <c r="DP1220" s="8"/>
      <c r="DQ1220" s="8"/>
      <c r="DR1220" s="8"/>
      <c r="DS1220" s="8"/>
      <c r="DT1220" s="8"/>
      <c r="DU1220" s="8"/>
      <c r="DV1220" s="8"/>
      <c r="DW1220" s="8"/>
      <c r="DX1220" s="8"/>
      <c r="DY1220" s="8"/>
      <c r="DZ1220" s="8"/>
      <c r="EA1220" s="8"/>
      <c r="EB1220" s="8"/>
      <c r="EC1220" s="8"/>
      <c r="ED1220" s="8"/>
      <c r="EE1220" s="8"/>
      <c r="EF1220" s="8"/>
      <c r="EG1220" s="8"/>
      <c r="EH1220" s="8"/>
      <c r="EI1220" s="8"/>
      <c r="EJ1220" s="8"/>
      <c r="EK1220" s="8"/>
      <c r="EL1220" s="8"/>
      <c r="EM1220" s="8"/>
      <c r="EN1220" s="8"/>
      <c r="EO1220" s="8"/>
      <c r="EP1220" s="8"/>
      <c r="EQ1220" s="8"/>
      <c r="ER1220" s="8"/>
      <c r="ES1220" s="8"/>
      <c r="ET1220" s="8"/>
      <c r="EU1220" s="8"/>
      <c r="EV1220" s="8"/>
      <c r="EW1220" s="8"/>
      <c r="EX1220" s="8"/>
      <c r="EY1220" s="8"/>
      <c r="EZ1220" s="8"/>
      <c r="FA1220" s="8"/>
      <c r="FB1220" s="8"/>
      <c r="FC1220" s="8"/>
      <c r="FD1220" s="8"/>
      <c r="FE1220" s="8"/>
      <c r="FF1220" s="8"/>
      <c r="FG1220" s="8"/>
      <c r="FH1220" s="8"/>
      <c r="FI1220" s="8"/>
      <c r="FJ1220" s="8"/>
      <c r="FK1220" s="8"/>
      <c r="FL1220" s="8"/>
      <c r="FM1220" s="8"/>
      <c r="FN1220" s="8"/>
      <c r="FO1220" s="8"/>
      <c r="FP1220" s="8"/>
      <c r="FQ1220" s="8"/>
      <c r="FR1220" s="8"/>
      <c r="FS1220" s="8"/>
      <c r="FT1220" s="8"/>
      <c r="FU1220" s="8"/>
      <c r="FV1220" s="8"/>
      <c r="FW1220" s="8"/>
      <c r="FX1220" s="8"/>
      <c r="FY1220" s="8"/>
      <c r="FZ1220" s="8"/>
      <c r="GA1220" s="8"/>
      <c r="GB1220" s="8"/>
      <c r="GC1220" s="8"/>
      <c r="GD1220" s="8"/>
      <c r="GE1220" s="8"/>
      <c r="GF1220" s="8"/>
      <c r="GG1220" s="8"/>
      <c r="GH1220" s="8"/>
      <c r="GI1220" s="8"/>
      <c r="GJ1220" s="8"/>
      <c r="GK1220" s="8"/>
      <c r="GL1220" s="8"/>
      <c r="GM1220" s="8"/>
      <c r="GN1220" s="8"/>
      <c r="GO1220" s="8"/>
      <c r="GP1220" s="8"/>
      <c r="GQ1220" s="8"/>
      <c r="GR1220" s="8"/>
      <c r="GS1220" s="8"/>
      <c r="GT1220" s="8"/>
      <c r="GU1220" s="8"/>
      <c r="GV1220" s="8"/>
      <c r="GW1220" s="8"/>
      <c r="GX1220" s="8"/>
      <c r="GY1220" s="8"/>
      <c r="GZ1220" s="8"/>
      <c r="HA1220" s="8"/>
      <c r="HB1220" s="8"/>
      <c r="HC1220" s="8"/>
      <c r="HD1220" s="8"/>
      <c r="HE1220" s="8"/>
      <c r="HF1220" s="8"/>
      <c r="HG1220" s="8"/>
      <c r="HH1220" s="8"/>
      <c r="HI1220" s="8"/>
      <c r="HJ1220" s="8"/>
      <c r="HK1220" s="8"/>
      <c r="HL1220" s="8"/>
      <c r="HM1220" s="8"/>
      <c r="HN1220" s="8"/>
      <c r="HO1220" s="8"/>
      <c r="HP1220" s="8"/>
      <c r="HQ1220" s="8"/>
      <c r="HR1220" s="8"/>
      <c r="HS1220" s="8"/>
      <c r="HT1220" s="8"/>
      <c r="HU1220" s="8"/>
      <c r="HV1220" s="8"/>
      <c r="HW1220" s="8"/>
      <c r="HX1220" s="8"/>
      <c r="HY1220" s="8"/>
      <c r="HZ1220" s="8"/>
      <c r="IA1220" s="8"/>
      <c r="IB1220" s="8"/>
      <c r="IC1220" s="8"/>
      <c r="ID1220" s="8"/>
      <c r="IE1220" s="8"/>
      <c r="IF1220" s="8"/>
    </row>
    <row r="1221" spans="1:240" ht="30" customHeight="1">
      <c r="A1221" s="5">
        <v>1219</v>
      </c>
      <c r="B1221" s="5"/>
      <c r="C1221" s="5"/>
      <c r="D1221" s="5" t="s">
        <v>68</v>
      </c>
      <c r="E1221" s="5" t="s">
        <v>48</v>
      </c>
      <c r="F1221" s="5" t="s">
        <v>48</v>
      </c>
      <c r="G1221" s="5" t="s">
        <v>48</v>
      </c>
      <c r="H1221" s="15">
        <f>4120*0.454</f>
        <v>1870.48</v>
      </c>
      <c r="I1221" s="5" t="s">
        <v>13</v>
      </c>
      <c r="J1221" s="15">
        <f>247/4.4</f>
        <v>56.136363636363633</v>
      </c>
      <c r="K1221" s="15">
        <f t="shared" si="35"/>
        <v>5.5560000000000009</v>
      </c>
      <c r="L1221" s="24">
        <v>360.35180151685245</v>
      </c>
      <c r="M1221" s="5">
        <f t="shared" si="34"/>
        <v>3.8800000000000026</v>
      </c>
      <c r="N1221" s="5"/>
      <c r="O1221" s="15">
        <f>19960*1.6978</f>
        <v>33888.087999999996</v>
      </c>
      <c r="P1221" s="5"/>
      <c r="Q1221" s="5"/>
      <c r="R1221" s="5">
        <v>1</v>
      </c>
      <c r="S1221" s="5"/>
      <c r="T1221" s="5"/>
      <c r="U1221" s="5"/>
      <c r="V1221" s="15">
        <f>7.5*0.7457</f>
        <v>5.5927500000000006</v>
      </c>
      <c r="W1221" s="5"/>
      <c r="X1221" s="5"/>
      <c r="Y1221" s="5" t="s">
        <v>48</v>
      </c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16" t="s">
        <v>48</v>
      </c>
      <c r="AN1221" s="5"/>
      <c r="AO1221" s="8"/>
      <c r="AP1221" s="8"/>
      <c r="AQ1221" s="8"/>
      <c r="AR1221" s="8"/>
      <c r="AS1221" s="8"/>
      <c r="AT1221" s="8"/>
      <c r="AU1221" s="8"/>
      <c r="AV1221" s="8"/>
      <c r="AW1221" s="8"/>
      <c r="AX1221" s="8"/>
      <c r="AY1221" s="8"/>
      <c r="AZ1221" s="8"/>
      <c r="BA1221" s="8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8"/>
      <c r="BS1221" s="8"/>
      <c r="BT1221" s="8"/>
      <c r="BU1221" s="8"/>
      <c r="BV1221" s="8"/>
      <c r="BW1221" s="8"/>
      <c r="BX1221" s="8"/>
      <c r="BY1221" s="8"/>
      <c r="BZ1221" s="8"/>
      <c r="CA1221" s="8"/>
      <c r="CB1221" s="8"/>
      <c r="CC1221" s="8"/>
      <c r="CD1221" s="8"/>
      <c r="CE1221" s="8"/>
      <c r="CF1221" s="8"/>
      <c r="CG1221" s="8"/>
      <c r="CH1221" s="8"/>
      <c r="CI1221" s="8"/>
      <c r="CJ1221" s="8"/>
      <c r="CK1221" s="8"/>
      <c r="CL1221" s="8"/>
      <c r="CM1221" s="8"/>
      <c r="CN1221" s="8"/>
      <c r="CO1221" s="8"/>
      <c r="CP1221" s="8"/>
      <c r="CQ1221" s="8"/>
      <c r="CR1221" s="8"/>
      <c r="CS1221" s="8"/>
      <c r="CT1221" s="8"/>
      <c r="CU1221" s="8"/>
      <c r="CV1221" s="8"/>
      <c r="CW1221" s="8"/>
      <c r="CX1221" s="8"/>
      <c r="CY1221" s="8"/>
      <c r="CZ1221" s="8"/>
      <c r="DA1221" s="8"/>
      <c r="DB1221" s="8"/>
      <c r="DC1221" s="8"/>
      <c r="DD1221" s="8"/>
      <c r="DE1221" s="8"/>
      <c r="DF1221" s="8"/>
      <c r="DG1221" s="8"/>
      <c r="DH1221" s="8"/>
      <c r="DI1221" s="8"/>
      <c r="DJ1221" s="8"/>
      <c r="DK1221" s="8"/>
      <c r="DL1221" s="8"/>
      <c r="DM1221" s="8"/>
      <c r="DN1221" s="8"/>
      <c r="DO1221" s="8"/>
      <c r="DP1221" s="8"/>
      <c r="DQ1221" s="8"/>
      <c r="DR1221" s="8"/>
      <c r="DS1221" s="8"/>
      <c r="DT1221" s="8"/>
      <c r="DU1221" s="8"/>
      <c r="DV1221" s="8"/>
      <c r="DW1221" s="8"/>
      <c r="DX1221" s="8"/>
      <c r="DY1221" s="8"/>
      <c r="DZ1221" s="8"/>
      <c r="EA1221" s="8"/>
      <c r="EB1221" s="8"/>
      <c r="EC1221" s="8"/>
      <c r="ED1221" s="8"/>
      <c r="EE1221" s="8"/>
      <c r="EF1221" s="8"/>
      <c r="EG1221" s="8"/>
      <c r="EH1221" s="8"/>
      <c r="EI1221" s="8"/>
      <c r="EJ1221" s="8"/>
      <c r="EK1221" s="8"/>
      <c r="EL1221" s="8"/>
      <c r="EM1221" s="8"/>
      <c r="EN1221" s="8"/>
      <c r="EO1221" s="8"/>
      <c r="EP1221" s="8"/>
      <c r="EQ1221" s="8"/>
      <c r="ER1221" s="8"/>
      <c r="ES1221" s="8"/>
      <c r="ET1221" s="8"/>
      <c r="EU1221" s="8"/>
      <c r="EV1221" s="8"/>
      <c r="EW1221" s="8"/>
      <c r="EX1221" s="8"/>
      <c r="EY1221" s="8"/>
      <c r="EZ1221" s="8"/>
      <c r="FA1221" s="8"/>
      <c r="FB1221" s="8"/>
      <c r="FC1221" s="8"/>
      <c r="FD1221" s="8"/>
      <c r="FE1221" s="8"/>
      <c r="FF1221" s="8"/>
      <c r="FG1221" s="8"/>
      <c r="FH1221" s="8"/>
      <c r="FI1221" s="8"/>
      <c r="FJ1221" s="8"/>
      <c r="FK1221" s="8"/>
      <c r="FL1221" s="8"/>
      <c r="FM1221" s="8"/>
      <c r="FN1221" s="8"/>
      <c r="FO1221" s="8"/>
      <c r="FP1221" s="8"/>
      <c r="FQ1221" s="8"/>
      <c r="FR1221" s="8"/>
      <c r="FS1221" s="8"/>
      <c r="FT1221" s="8"/>
      <c r="FU1221" s="8"/>
      <c r="FV1221" s="8"/>
      <c r="FW1221" s="8"/>
      <c r="FX1221" s="8"/>
      <c r="FY1221" s="8"/>
      <c r="FZ1221" s="8"/>
      <c r="GA1221" s="8"/>
      <c r="GB1221" s="8"/>
      <c r="GC1221" s="8"/>
      <c r="GD1221" s="8"/>
      <c r="GE1221" s="8"/>
      <c r="GF1221" s="8"/>
      <c r="GG1221" s="8"/>
      <c r="GH1221" s="8"/>
      <c r="GI1221" s="8"/>
      <c r="GJ1221" s="8"/>
      <c r="GK1221" s="8"/>
      <c r="GL1221" s="8"/>
      <c r="GM1221" s="8"/>
      <c r="GN1221" s="8"/>
      <c r="GO1221" s="8"/>
      <c r="GP1221" s="8"/>
      <c r="GQ1221" s="8"/>
      <c r="GR1221" s="8"/>
      <c r="GS1221" s="8"/>
      <c r="GT1221" s="8"/>
      <c r="GU1221" s="8"/>
      <c r="GV1221" s="8"/>
      <c r="GW1221" s="8"/>
      <c r="GX1221" s="8"/>
      <c r="GY1221" s="8"/>
      <c r="GZ1221" s="8"/>
      <c r="HA1221" s="8"/>
      <c r="HB1221" s="8"/>
      <c r="HC1221" s="8"/>
      <c r="HD1221" s="8"/>
      <c r="HE1221" s="8"/>
      <c r="HF1221" s="8"/>
      <c r="HG1221" s="8"/>
      <c r="HH1221" s="8"/>
      <c r="HI1221" s="8"/>
      <c r="HJ1221" s="8"/>
      <c r="HK1221" s="8"/>
      <c r="HL1221" s="8"/>
      <c r="HM1221" s="8"/>
      <c r="HN1221" s="8"/>
      <c r="HO1221" s="8"/>
      <c r="HP1221" s="8"/>
      <c r="HQ1221" s="8"/>
      <c r="HR1221" s="8"/>
      <c r="HS1221" s="8"/>
      <c r="HT1221" s="8"/>
      <c r="HU1221" s="8"/>
      <c r="HV1221" s="8"/>
      <c r="HW1221" s="8"/>
      <c r="HX1221" s="8"/>
      <c r="HY1221" s="8"/>
      <c r="HZ1221" s="8"/>
      <c r="IA1221" s="8"/>
      <c r="IB1221" s="8"/>
      <c r="IC1221" s="8"/>
      <c r="ID1221" s="8"/>
      <c r="IE1221" s="8"/>
      <c r="IF1221" s="8"/>
    </row>
    <row r="1222" spans="1:240" ht="30" customHeight="1">
      <c r="A1222" s="5">
        <v>1220</v>
      </c>
      <c r="B1222" s="5"/>
      <c r="C1222" s="5"/>
      <c r="D1222" s="5" t="s">
        <v>68</v>
      </c>
      <c r="E1222" s="5" t="s">
        <v>48</v>
      </c>
      <c r="F1222" s="5" t="s">
        <v>48</v>
      </c>
      <c r="G1222" s="5" t="s">
        <v>48</v>
      </c>
      <c r="H1222" s="15">
        <f>4210*0.454</f>
        <v>1911.3400000000001</v>
      </c>
      <c r="I1222" s="5" t="s">
        <v>13</v>
      </c>
      <c r="J1222" s="15">
        <f>271/4.4</f>
        <v>61.590909090909086</v>
      </c>
      <c r="K1222" s="15">
        <f t="shared" si="35"/>
        <v>5.5560000000000009</v>
      </c>
      <c r="L1222" s="24">
        <v>395.36574174521053</v>
      </c>
      <c r="M1222" s="5">
        <f t="shared" si="34"/>
        <v>3.8800000000000026</v>
      </c>
      <c r="N1222" s="5"/>
      <c r="O1222" s="15">
        <f>21300*1.6978</f>
        <v>36163.14</v>
      </c>
      <c r="P1222" s="5"/>
      <c r="Q1222" s="5"/>
      <c r="R1222" s="5">
        <v>1</v>
      </c>
      <c r="S1222" s="5"/>
      <c r="T1222" s="5"/>
      <c r="U1222" s="5"/>
      <c r="V1222" s="15">
        <f>10*0.7457</f>
        <v>7.4570000000000007</v>
      </c>
      <c r="W1222" s="5"/>
      <c r="X1222" s="5"/>
      <c r="Y1222" s="5" t="s">
        <v>48</v>
      </c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16" t="s">
        <v>48</v>
      </c>
      <c r="AN1222" s="5"/>
      <c r="AO1222" s="8"/>
      <c r="AP1222" s="8"/>
      <c r="AQ1222" s="8"/>
      <c r="AR1222" s="8"/>
      <c r="AS1222" s="8"/>
      <c r="AT1222" s="8"/>
      <c r="AU1222" s="8"/>
      <c r="AV1222" s="8"/>
      <c r="AW1222" s="8"/>
      <c r="AX1222" s="8"/>
      <c r="AY1222" s="8"/>
      <c r="AZ1222" s="8"/>
      <c r="BA1222" s="8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8"/>
      <c r="BS1222" s="8"/>
      <c r="BT1222" s="8"/>
      <c r="BU1222" s="8"/>
      <c r="BV1222" s="8"/>
      <c r="BW1222" s="8"/>
      <c r="BX1222" s="8"/>
      <c r="BY1222" s="8"/>
      <c r="BZ1222" s="8"/>
      <c r="CA1222" s="8"/>
      <c r="CB1222" s="8"/>
      <c r="CC1222" s="8"/>
      <c r="CD1222" s="8"/>
      <c r="CE1222" s="8"/>
      <c r="CF1222" s="8"/>
      <c r="CG1222" s="8"/>
      <c r="CH1222" s="8"/>
      <c r="CI1222" s="8"/>
      <c r="CJ1222" s="8"/>
      <c r="CK1222" s="8"/>
      <c r="CL1222" s="8"/>
      <c r="CM1222" s="8"/>
      <c r="CN1222" s="8"/>
      <c r="CO1222" s="8"/>
      <c r="CP1222" s="8"/>
      <c r="CQ1222" s="8"/>
      <c r="CR1222" s="8"/>
      <c r="CS1222" s="8"/>
      <c r="CT1222" s="8"/>
      <c r="CU1222" s="8"/>
      <c r="CV1222" s="8"/>
      <c r="CW1222" s="8"/>
      <c r="CX1222" s="8"/>
      <c r="CY1222" s="8"/>
      <c r="CZ1222" s="8"/>
      <c r="DA1222" s="8"/>
      <c r="DB1222" s="8"/>
      <c r="DC1222" s="8"/>
      <c r="DD1222" s="8"/>
      <c r="DE1222" s="8"/>
      <c r="DF1222" s="8"/>
      <c r="DG1222" s="8"/>
      <c r="DH1222" s="8"/>
      <c r="DI1222" s="8"/>
      <c r="DJ1222" s="8"/>
      <c r="DK1222" s="8"/>
      <c r="DL1222" s="8"/>
      <c r="DM1222" s="8"/>
      <c r="DN1222" s="8"/>
      <c r="DO1222" s="8"/>
      <c r="DP1222" s="8"/>
      <c r="DQ1222" s="8"/>
      <c r="DR1222" s="8"/>
      <c r="DS1222" s="8"/>
      <c r="DT1222" s="8"/>
      <c r="DU1222" s="8"/>
      <c r="DV1222" s="8"/>
      <c r="DW1222" s="8"/>
      <c r="DX1222" s="8"/>
      <c r="DY1222" s="8"/>
      <c r="DZ1222" s="8"/>
      <c r="EA1222" s="8"/>
      <c r="EB1222" s="8"/>
      <c r="EC1222" s="8"/>
      <c r="ED1222" s="8"/>
      <c r="EE1222" s="8"/>
      <c r="EF1222" s="8"/>
      <c r="EG1222" s="8"/>
      <c r="EH1222" s="8"/>
      <c r="EI1222" s="8"/>
      <c r="EJ1222" s="8"/>
      <c r="EK1222" s="8"/>
      <c r="EL1222" s="8"/>
      <c r="EM1222" s="8"/>
      <c r="EN1222" s="8"/>
      <c r="EO1222" s="8"/>
      <c r="EP1222" s="8"/>
      <c r="EQ1222" s="8"/>
      <c r="ER1222" s="8"/>
      <c r="ES1222" s="8"/>
      <c r="ET1222" s="8"/>
      <c r="EU1222" s="8"/>
      <c r="EV1222" s="8"/>
      <c r="EW1222" s="8"/>
      <c r="EX1222" s="8"/>
      <c r="EY1222" s="8"/>
      <c r="EZ1222" s="8"/>
      <c r="FA1222" s="8"/>
      <c r="FB1222" s="8"/>
      <c r="FC1222" s="8"/>
      <c r="FD1222" s="8"/>
      <c r="FE1222" s="8"/>
      <c r="FF1222" s="8"/>
      <c r="FG1222" s="8"/>
      <c r="FH1222" s="8"/>
      <c r="FI1222" s="8"/>
      <c r="FJ1222" s="8"/>
      <c r="FK1222" s="8"/>
      <c r="FL1222" s="8"/>
      <c r="FM1222" s="8"/>
      <c r="FN1222" s="8"/>
      <c r="FO1222" s="8"/>
      <c r="FP1222" s="8"/>
      <c r="FQ1222" s="8"/>
      <c r="FR1222" s="8"/>
      <c r="FS1222" s="8"/>
      <c r="FT1222" s="8"/>
      <c r="FU1222" s="8"/>
      <c r="FV1222" s="8"/>
      <c r="FW1222" s="8"/>
      <c r="FX1222" s="8"/>
      <c r="FY1222" s="8"/>
      <c r="FZ1222" s="8"/>
      <c r="GA1222" s="8"/>
      <c r="GB1222" s="8"/>
      <c r="GC1222" s="8"/>
      <c r="GD1222" s="8"/>
      <c r="GE1222" s="8"/>
      <c r="GF1222" s="8"/>
      <c r="GG1222" s="8"/>
      <c r="GH1222" s="8"/>
      <c r="GI1222" s="8"/>
      <c r="GJ1222" s="8"/>
      <c r="GK1222" s="8"/>
      <c r="GL1222" s="8"/>
      <c r="GM1222" s="8"/>
      <c r="GN1222" s="8"/>
      <c r="GO1222" s="8"/>
      <c r="GP1222" s="8"/>
      <c r="GQ1222" s="8"/>
      <c r="GR1222" s="8"/>
      <c r="GS1222" s="8"/>
      <c r="GT1222" s="8"/>
      <c r="GU1222" s="8"/>
      <c r="GV1222" s="8"/>
      <c r="GW1222" s="8"/>
      <c r="GX1222" s="8"/>
      <c r="GY1222" s="8"/>
      <c r="GZ1222" s="8"/>
      <c r="HA1222" s="8"/>
      <c r="HB1222" s="8"/>
      <c r="HC1222" s="8"/>
      <c r="HD1222" s="8"/>
      <c r="HE1222" s="8"/>
      <c r="HF1222" s="8"/>
      <c r="HG1222" s="8"/>
      <c r="HH1222" s="8"/>
      <c r="HI1222" s="8"/>
      <c r="HJ1222" s="8"/>
      <c r="HK1222" s="8"/>
      <c r="HL1222" s="8"/>
      <c r="HM1222" s="8"/>
      <c r="HN1222" s="8"/>
      <c r="HO1222" s="8"/>
      <c r="HP1222" s="8"/>
      <c r="HQ1222" s="8"/>
      <c r="HR1222" s="8"/>
      <c r="HS1222" s="8"/>
      <c r="HT1222" s="8"/>
      <c r="HU1222" s="8"/>
      <c r="HV1222" s="8"/>
      <c r="HW1222" s="8"/>
      <c r="HX1222" s="8"/>
      <c r="HY1222" s="8"/>
      <c r="HZ1222" s="8"/>
      <c r="IA1222" s="8"/>
      <c r="IB1222" s="8"/>
      <c r="IC1222" s="8"/>
      <c r="ID1222" s="8"/>
      <c r="IE1222" s="8"/>
      <c r="IF1222" s="8"/>
    </row>
    <row r="1223" spans="1:240" ht="30" customHeight="1">
      <c r="A1223" s="5">
        <v>1221</v>
      </c>
      <c r="B1223" s="5"/>
      <c r="C1223" s="5"/>
      <c r="D1223" s="5" t="s">
        <v>68</v>
      </c>
      <c r="E1223" s="5" t="s">
        <v>48</v>
      </c>
      <c r="F1223" s="5" t="s">
        <v>48</v>
      </c>
      <c r="G1223" s="5" t="s">
        <v>48</v>
      </c>
      <c r="H1223" s="15">
        <f>4240*0.454</f>
        <v>1924.96</v>
      </c>
      <c r="I1223" s="5" t="s">
        <v>13</v>
      </c>
      <c r="J1223" s="15">
        <f>282/4.4</f>
        <v>64.090909090909079</v>
      </c>
      <c r="K1223" s="15">
        <f t="shared" si="35"/>
        <v>5.5560000000000009</v>
      </c>
      <c r="L1223" s="24">
        <v>411.41379768320803</v>
      </c>
      <c r="M1223" s="5">
        <f t="shared" si="34"/>
        <v>3.8800000000000026</v>
      </c>
      <c r="N1223" s="5"/>
      <c r="O1223" s="15">
        <f>19750*1.6978</f>
        <v>33531.550000000003</v>
      </c>
      <c r="P1223" s="5"/>
      <c r="Q1223" s="5"/>
      <c r="R1223" s="5">
        <v>1</v>
      </c>
      <c r="S1223" s="5"/>
      <c r="T1223" s="5"/>
      <c r="U1223" s="5"/>
      <c r="V1223" s="15">
        <f>7.5*0.7457</f>
        <v>5.5927500000000006</v>
      </c>
      <c r="W1223" s="5"/>
      <c r="X1223" s="5"/>
      <c r="Y1223" s="5" t="s">
        <v>48</v>
      </c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16" t="s">
        <v>48</v>
      </c>
      <c r="AN1223" s="5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8"/>
      <c r="BS1223" s="8"/>
      <c r="BT1223" s="8"/>
      <c r="BU1223" s="8"/>
      <c r="BV1223" s="8"/>
      <c r="BW1223" s="8"/>
      <c r="BX1223" s="8"/>
      <c r="BY1223" s="8"/>
      <c r="BZ1223" s="8"/>
      <c r="CA1223" s="8"/>
      <c r="CB1223" s="8"/>
      <c r="CC1223" s="8"/>
      <c r="CD1223" s="8"/>
      <c r="CE1223" s="8"/>
      <c r="CF1223" s="8"/>
      <c r="CG1223" s="8"/>
      <c r="CH1223" s="8"/>
      <c r="CI1223" s="8"/>
      <c r="CJ1223" s="8"/>
      <c r="CK1223" s="8"/>
      <c r="CL1223" s="8"/>
      <c r="CM1223" s="8"/>
      <c r="CN1223" s="8"/>
      <c r="CO1223" s="8"/>
      <c r="CP1223" s="8"/>
      <c r="CQ1223" s="8"/>
      <c r="CR1223" s="8"/>
      <c r="CS1223" s="8"/>
      <c r="CT1223" s="8"/>
      <c r="CU1223" s="8"/>
      <c r="CV1223" s="8"/>
      <c r="CW1223" s="8"/>
      <c r="CX1223" s="8"/>
      <c r="CY1223" s="8"/>
      <c r="CZ1223" s="8"/>
      <c r="DA1223" s="8"/>
      <c r="DB1223" s="8"/>
      <c r="DC1223" s="8"/>
      <c r="DD1223" s="8"/>
      <c r="DE1223" s="8"/>
      <c r="DF1223" s="8"/>
      <c r="DG1223" s="8"/>
      <c r="DH1223" s="8"/>
      <c r="DI1223" s="8"/>
      <c r="DJ1223" s="8"/>
      <c r="DK1223" s="8"/>
      <c r="DL1223" s="8"/>
      <c r="DM1223" s="8"/>
      <c r="DN1223" s="8"/>
      <c r="DO1223" s="8"/>
      <c r="DP1223" s="8"/>
      <c r="DQ1223" s="8"/>
      <c r="DR1223" s="8"/>
      <c r="DS1223" s="8"/>
      <c r="DT1223" s="8"/>
      <c r="DU1223" s="8"/>
      <c r="DV1223" s="8"/>
      <c r="DW1223" s="8"/>
      <c r="DX1223" s="8"/>
      <c r="DY1223" s="8"/>
      <c r="DZ1223" s="8"/>
      <c r="EA1223" s="8"/>
      <c r="EB1223" s="8"/>
      <c r="EC1223" s="8"/>
      <c r="ED1223" s="8"/>
      <c r="EE1223" s="8"/>
      <c r="EF1223" s="8"/>
      <c r="EG1223" s="8"/>
      <c r="EH1223" s="8"/>
      <c r="EI1223" s="8"/>
      <c r="EJ1223" s="8"/>
      <c r="EK1223" s="8"/>
      <c r="EL1223" s="8"/>
      <c r="EM1223" s="8"/>
      <c r="EN1223" s="8"/>
      <c r="EO1223" s="8"/>
      <c r="EP1223" s="8"/>
      <c r="EQ1223" s="8"/>
      <c r="ER1223" s="8"/>
      <c r="ES1223" s="8"/>
      <c r="ET1223" s="8"/>
      <c r="EU1223" s="8"/>
      <c r="EV1223" s="8"/>
      <c r="EW1223" s="8"/>
      <c r="EX1223" s="8"/>
      <c r="EY1223" s="8"/>
      <c r="EZ1223" s="8"/>
      <c r="FA1223" s="8"/>
      <c r="FB1223" s="8"/>
      <c r="FC1223" s="8"/>
      <c r="FD1223" s="8"/>
      <c r="FE1223" s="8"/>
      <c r="FF1223" s="8"/>
      <c r="FG1223" s="8"/>
      <c r="FH1223" s="8"/>
      <c r="FI1223" s="8"/>
      <c r="FJ1223" s="8"/>
      <c r="FK1223" s="8"/>
      <c r="FL1223" s="8"/>
      <c r="FM1223" s="8"/>
      <c r="FN1223" s="8"/>
      <c r="FO1223" s="8"/>
      <c r="FP1223" s="8"/>
      <c r="FQ1223" s="8"/>
      <c r="FR1223" s="8"/>
      <c r="FS1223" s="8"/>
      <c r="FT1223" s="8"/>
      <c r="FU1223" s="8"/>
      <c r="FV1223" s="8"/>
      <c r="FW1223" s="8"/>
      <c r="FX1223" s="8"/>
      <c r="FY1223" s="8"/>
      <c r="FZ1223" s="8"/>
      <c r="GA1223" s="8"/>
      <c r="GB1223" s="8"/>
      <c r="GC1223" s="8"/>
      <c r="GD1223" s="8"/>
      <c r="GE1223" s="8"/>
      <c r="GF1223" s="8"/>
      <c r="GG1223" s="8"/>
      <c r="GH1223" s="8"/>
      <c r="GI1223" s="8"/>
      <c r="GJ1223" s="8"/>
      <c r="GK1223" s="8"/>
      <c r="GL1223" s="8"/>
      <c r="GM1223" s="8"/>
      <c r="GN1223" s="8"/>
      <c r="GO1223" s="8"/>
      <c r="GP1223" s="8"/>
      <c r="GQ1223" s="8"/>
      <c r="GR1223" s="8"/>
      <c r="GS1223" s="8"/>
      <c r="GT1223" s="8"/>
      <c r="GU1223" s="8"/>
      <c r="GV1223" s="8"/>
      <c r="GW1223" s="8"/>
      <c r="GX1223" s="8"/>
      <c r="GY1223" s="8"/>
      <c r="GZ1223" s="8"/>
      <c r="HA1223" s="8"/>
      <c r="HB1223" s="8"/>
      <c r="HC1223" s="8"/>
      <c r="HD1223" s="8"/>
      <c r="HE1223" s="8"/>
      <c r="HF1223" s="8"/>
      <c r="HG1223" s="8"/>
      <c r="HH1223" s="8"/>
      <c r="HI1223" s="8"/>
      <c r="HJ1223" s="8"/>
      <c r="HK1223" s="8"/>
      <c r="HL1223" s="8"/>
      <c r="HM1223" s="8"/>
      <c r="HN1223" s="8"/>
      <c r="HO1223" s="8"/>
      <c r="HP1223" s="8"/>
      <c r="HQ1223" s="8"/>
      <c r="HR1223" s="8"/>
      <c r="HS1223" s="8"/>
      <c r="HT1223" s="8"/>
      <c r="HU1223" s="8"/>
      <c r="HV1223" s="8"/>
      <c r="HW1223" s="8"/>
      <c r="HX1223" s="8"/>
      <c r="HY1223" s="8"/>
      <c r="HZ1223" s="8"/>
      <c r="IA1223" s="8"/>
      <c r="IB1223" s="8"/>
      <c r="IC1223" s="8"/>
      <c r="ID1223" s="8"/>
      <c r="IE1223" s="8"/>
      <c r="IF1223" s="8"/>
    </row>
    <row r="1224" spans="1:240" ht="30" customHeight="1">
      <c r="A1224" s="5">
        <v>1222</v>
      </c>
      <c r="B1224" s="5"/>
      <c r="C1224" s="5"/>
      <c r="D1224" s="5" t="s">
        <v>68</v>
      </c>
      <c r="E1224" s="5" t="s">
        <v>48</v>
      </c>
      <c r="F1224" s="5" t="s">
        <v>48</v>
      </c>
      <c r="G1224" s="5" t="s">
        <v>48</v>
      </c>
      <c r="H1224" s="15">
        <f>4280*0.454</f>
        <v>1943.1200000000001</v>
      </c>
      <c r="I1224" s="5" t="s">
        <v>13</v>
      </c>
      <c r="J1224" s="15">
        <f>306/4.4</f>
        <v>69.545454545454547</v>
      </c>
      <c r="K1224" s="15">
        <f t="shared" si="35"/>
        <v>5.5560000000000009</v>
      </c>
      <c r="L1224" s="24">
        <v>446.42773791156617</v>
      </c>
      <c r="M1224" s="5">
        <f t="shared" si="34"/>
        <v>3.8800000000000026</v>
      </c>
      <c r="N1224" s="5"/>
      <c r="O1224" s="15">
        <f>21300*1.6978</f>
        <v>36163.14</v>
      </c>
      <c r="P1224" s="5"/>
      <c r="Q1224" s="5"/>
      <c r="R1224" s="5">
        <v>1</v>
      </c>
      <c r="S1224" s="5"/>
      <c r="T1224" s="5"/>
      <c r="U1224" s="5"/>
      <c r="V1224" s="15">
        <f>10*0.7457</f>
        <v>7.4570000000000007</v>
      </c>
      <c r="W1224" s="5"/>
      <c r="X1224" s="5"/>
      <c r="Y1224" s="5" t="s">
        <v>48</v>
      </c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16" t="s">
        <v>48</v>
      </c>
      <c r="AN1224" s="5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  <c r="EV1224" s="8"/>
      <c r="EW1224" s="8"/>
      <c r="EX1224" s="8"/>
      <c r="EY1224" s="8"/>
      <c r="EZ1224" s="8"/>
      <c r="FA1224" s="8"/>
      <c r="FB1224" s="8"/>
      <c r="FC1224" s="8"/>
      <c r="FD1224" s="8"/>
      <c r="FE1224" s="8"/>
      <c r="FF1224" s="8"/>
      <c r="FG1224" s="8"/>
      <c r="FH1224" s="8"/>
      <c r="FI1224" s="8"/>
      <c r="FJ1224" s="8"/>
      <c r="FK1224" s="8"/>
      <c r="FL1224" s="8"/>
      <c r="FM1224" s="8"/>
      <c r="FN1224" s="8"/>
      <c r="FO1224" s="8"/>
      <c r="FP1224" s="8"/>
      <c r="FQ1224" s="8"/>
      <c r="FR1224" s="8"/>
      <c r="FS1224" s="8"/>
      <c r="FT1224" s="8"/>
      <c r="FU1224" s="8"/>
      <c r="FV1224" s="8"/>
      <c r="FW1224" s="8"/>
      <c r="FX1224" s="8"/>
      <c r="FY1224" s="8"/>
      <c r="FZ1224" s="8"/>
      <c r="GA1224" s="8"/>
      <c r="GB1224" s="8"/>
      <c r="GC1224" s="8"/>
      <c r="GD1224" s="8"/>
      <c r="GE1224" s="8"/>
      <c r="GF1224" s="8"/>
      <c r="GG1224" s="8"/>
      <c r="GH1224" s="8"/>
      <c r="GI1224" s="8"/>
      <c r="GJ1224" s="8"/>
      <c r="GK1224" s="8"/>
      <c r="GL1224" s="8"/>
      <c r="GM1224" s="8"/>
      <c r="GN1224" s="8"/>
      <c r="GO1224" s="8"/>
      <c r="GP1224" s="8"/>
      <c r="GQ1224" s="8"/>
      <c r="GR1224" s="8"/>
      <c r="GS1224" s="8"/>
      <c r="GT1224" s="8"/>
      <c r="GU1224" s="8"/>
      <c r="GV1224" s="8"/>
      <c r="GW1224" s="8"/>
      <c r="GX1224" s="8"/>
      <c r="GY1224" s="8"/>
      <c r="GZ1224" s="8"/>
      <c r="HA1224" s="8"/>
      <c r="HB1224" s="8"/>
      <c r="HC1224" s="8"/>
      <c r="HD1224" s="8"/>
      <c r="HE1224" s="8"/>
      <c r="HF1224" s="8"/>
      <c r="HG1224" s="8"/>
      <c r="HH1224" s="8"/>
      <c r="HI1224" s="8"/>
      <c r="HJ1224" s="8"/>
      <c r="HK1224" s="8"/>
      <c r="HL1224" s="8"/>
      <c r="HM1224" s="8"/>
      <c r="HN1224" s="8"/>
      <c r="HO1224" s="8"/>
      <c r="HP1224" s="8"/>
      <c r="HQ1224" s="8"/>
      <c r="HR1224" s="8"/>
      <c r="HS1224" s="8"/>
      <c r="HT1224" s="8"/>
      <c r="HU1224" s="8"/>
      <c r="HV1224" s="8"/>
      <c r="HW1224" s="8"/>
      <c r="HX1224" s="8"/>
      <c r="HY1224" s="8"/>
      <c r="HZ1224" s="8"/>
      <c r="IA1224" s="8"/>
      <c r="IB1224" s="8"/>
      <c r="IC1224" s="8"/>
      <c r="ID1224" s="8"/>
      <c r="IE1224" s="8"/>
      <c r="IF1224" s="8"/>
    </row>
    <row r="1225" spans="1:240" ht="30" customHeight="1">
      <c r="A1225" s="5">
        <v>1223</v>
      </c>
      <c r="B1225" s="5"/>
      <c r="C1225" s="5"/>
      <c r="D1225" s="5" t="s">
        <v>68</v>
      </c>
      <c r="E1225" s="5" t="s">
        <v>48</v>
      </c>
      <c r="F1225" s="5" t="s">
        <v>48</v>
      </c>
      <c r="G1225" s="5" t="s">
        <v>48</v>
      </c>
      <c r="H1225" s="15">
        <f>5430*0.454</f>
        <v>2465.2200000000003</v>
      </c>
      <c r="I1225" s="5" t="s">
        <v>13</v>
      </c>
      <c r="J1225" s="15">
        <f>302/4.4</f>
        <v>68.636363636363626</v>
      </c>
      <c r="K1225" s="15">
        <f t="shared" si="35"/>
        <v>5.5560000000000009</v>
      </c>
      <c r="L1225" s="24">
        <v>440.59208120683979</v>
      </c>
      <c r="M1225" s="5">
        <f t="shared" si="34"/>
        <v>3.8800000000000026</v>
      </c>
      <c r="N1225" s="5"/>
      <c r="O1225" s="15">
        <f>26470*1.6978</f>
        <v>44940.765999999996</v>
      </c>
      <c r="P1225" s="5"/>
      <c r="Q1225" s="5"/>
      <c r="R1225" s="5">
        <v>1</v>
      </c>
      <c r="S1225" s="5"/>
      <c r="T1225" s="5"/>
      <c r="U1225" s="5"/>
      <c r="V1225" s="15">
        <f>10*0.7457</f>
        <v>7.4570000000000007</v>
      </c>
      <c r="W1225" s="5"/>
      <c r="X1225" s="5"/>
      <c r="Y1225" s="5" t="s">
        <v>48</v>
      </c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16" t="s">
        <v>48</v>
      </c>
      <c r="AN1225" s="5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8"/>
      <c r="BS1225" s="8"/>
      <c r="BT1225" s="8"/>
      <c r="BU1225" s="8"/>
      <c r="BV1225" s="8"/>
      <c r="BW1225" s="8"/>
      <c r="BX1225" s="8"/>
      <c r="BY1225" s="8"/>
      <c r="BZ1225" s="8"/>
      <c r="CA1225" s="8"/>
      <c r="CB1225" s="8"/>
      <c r="CC1225" s="8"/>
      <c r="CD1225" s="8"/>
      <c r="CE1225" s="8"/>
      <c r="CF1225" s="8"/>
      <c r="CG1225" s="8"/>
      <c r="CH1225" s="8"/>
      <c r="CI1225" s="8"/>
      <c r="CJ1225" s="8"/>
      <c r="CK1225" s="8"/>
      <c r="CL1225" s="8"/>
      <c r="CM1225" s="8"/>
      <c r="CN1225" s="8"/>
      <c r="CO1225" s="8"/>
      <c r="CP1225" s="8"/>
      <c r="CQ1225" s="8"/>
      <c r="CR1225" s="8"/>
      <c r="CS1225" s="8"/>
      <c r="CT1225" s="8"/>
      <c r="CU1225" s="8"/>
      <c r="CV1225" s="8"/>
      <c r="CW1225" s="8"/>
      <c r="CX1225" s="8"/>
      <c r="CY1225" s="8"/>
      <c r="CZ1225" s="8"/>
      <c r="DA1225" s="8"/>
      <c r="DB1225" s="8"/>
      <c r="DC1225" s="8"/>
      <c r="DD1225" s="8"/>
      <c r="DE1225" s="8"/>
      <c r="DF1225" s="8"/>
      <c r="DG1225" s="8"/>
      <c r="DH1225" s="8"/>
      <c r="DI1225" s="8"/>
      <c r="DJ1225" s="8"/>
      <c r="DK1225" s="8"/>
      <c r="DL1225" s="8"/>
      <c r="DM1225" s="8"/>
      <c r="DN1225" s="8"/>
      <c r="DO1225" s="8"/>
      <c r="DP1225" s="8"/>
      <c r="DQ1225" s="8"/>
      <c r="DR1225" s="8"/>
      <c r="DS1225" s="8"/>
      <c r="DT1225" s="8"/>
      <c r="DU1225" s="8"/>
      <c r="DV1225" s="8"/>
      <c r="DW1225" s="8"/>
      <c r="DX1225" s="8"/>
      <c r="DY1225" s="8"/>
      <c r="DZ1225" s="8"/>
      <c r="EA1225" s="8"/>
      <c r="EB1225" s="8"/>
      <c r="EC1225" s="8"/>
      <c r="ED1225" s="8"/>
      <c r="EE1225" s="8"/>
      <c r="EF1225" s="8"/>
      <c r="EG1225" s="8"/>
      <c r="EH1225" s="8"/>
      <c r="EI1225" s="8"/>
      <c r="EJ1225" s="8"/>
      <c r="EK1225" s="8"/>
      <c r="EL1225" s="8"/>
      <c r="EM1225" s="8"/>
      <c r="EN1225" s="8"/>
      <c r="EO1225" s="8"/>
      <c r="EP1225" s="8"/>
      <c r="EQ1225" s="8"/>
      <c r="ER1225" s="8"/>
      <c r="ES1225" s="8"/>
      <c r="ET1225" s="8"/>
      <c r="EU1225" s="8"/>
      <c r="EV1225" s="8"/>
      <c r="EW1225" s="8"/>
      <c r="EX1225" s="8"/>
      <c r="EY1225" s="8"/>
      <c r="EZ1225" s="8"/>
      <c r="FA1225" s="8"/>
      <c r="FB1225" s="8"/>
      <c r="FC1225" s="8"/>
      <c r="FD1225" s="8"/>
      <c r="FE1225" s="8"/>
      <c r="FF1225" s="8"/>
      <c r="FG1225" s="8"/>
      <c r="FH1225" s="8"/>
      <c r="FI1225" s="8"/>
      <c r="FJ1225" s="8"/>
      <c r="FK1225" s="8"/>
      <c r="FL1225" s="8"/>
      <c r="FM1225" s="8"/>
      <c r="FN1225" s="8"/>
      <c r="FO1225" s="8"/>
      <c r="FP1225" s="8"/>
      <c r="FQ1225" s="8"/>
      <c r="FR1225" s="8"/>
      <c r="FS1225" s="8"/>
      <c r="FT1225" s="8"/>
      <c r="FU1225" s="8"/>
      <c r="FV1225" s="8"/>
      <c r="FW1225" s="8"/>
      <c r="FX1225" s="8"/>
      <c r="FY1225" s="8"/>
      <c r="FZ1225" s="8"/>
      <c r="GA1225" s="8"/>
      <c r="GB1225" s="8"/>
      <c r="GC1225" s="8"/>
      <c r="GD1225" s="8"/>
      <c r="GE1225" s="8"/>
      <c r="GF1225" s="8"/>
      <c r="GG1225" s="8"/>
      <c r="GH1225" s="8"/>
      <c r="GI1225" s="8"/>
      <c r="GJ1225" s="8"/>
      <c r="GK1225" s="8"/>
      <c r="GL1225" s="8"/>
      <c r="GM1225" s="8"/>
      <c r="GN1225" s="8"/>
      <c r="GO1225" s="8"/>
      <c r="GP1225" s="8"/>
      <c r="GQ1225" s="8"/>
      <c r="GR1225" s="8"/>
      <c r="GS1225" s="8"/>
      <c r="GT1225" s="8"/>
      <c r="GU1225" s="8"/>
      <c r="GV1225" s="8"/>
      <c r="GW1225" s="8"/>
      <c r="GX1225" s="8"/>
      <c r="GY1225" s="8"/>
      <c r="GZ1225" s="8"/>
      <c r="HA1225" s="8"/>
      <c r="HB1225" s="8"/>
      <c r="HC1225" s="8"/>
      <c r="HD1225" s="8"/>
      <c r="HE1225" s="8"/>
      <c r="HF1225" s="8"/>
      <c r="HG1225" s="8"/>
      <c r="HH1225" s="8"/>
      <c r="HI1225" s="8"/>
      <c r="HJ1225" s="8"/>
      <c r="HK1225" s="8"/>
      <c r="HL1225" s="8"/>
      <c r="HM1225" s="8"/>
      <c r="HN1225" s="8"/>
      <c r="HO1225" s="8"/>
      <c r="HP1225" s="8"/>
      <c r="HQ1225" s="8"/>
      <c r="HR1225" s="8"/>
      <c r="HS1225" s="8"/>
      <c r="HT1225" s="8"/>
      <c r="HU1225" s="8"/>
      <c r="HV1225" s="8"/>
      <c r="HW1225" s="8"/>
      <c r="HX1225" s="8"/>
      <c r="HY1225" s="8"/>
      <c r="HZ1225" s="8"/>
      <c r="IA1225" s="8"/>
      <c r="IB1225" s="8"/>
      <c r="IC1225" s="8"/>
      <c r="ID1225" s="8"/>
      <c r="IE1225" s="8"/>
      <c r="IF1225" s="8"/>
    </row>
    <row r="1226" spans="1:240" ht="30" customHeight="1">
      <c r="A1226" s="5">
        <v>1224</v>
      </c>
      <c r="B1226" s="5"/>
      <c r="C1226" s="5"/>
      <c r="D1226" s="5" t="s">
        <v>68</v>
      </c>
      <c r="E1226" s="5" t="s">
        <v>48</v>
      </c>
      <c r="F1226" s="5" t="s">
        <v>48</v>
      </c>
      <c r="G1226" s="5" t="s">
        <v>48</v>
      </c>
      <c r="H1226" s="15">
        <f>5530*0.454</f>
        <v>2510.62</v>
      </c>
      <c r="I1226" s="5" t="s">
        <v>13</v>
      </c>
      <c r="J1226" s="15">
        <f>343/4.4</f>
        <v>77.954545454545453</v>
      </c>
      <c r="K1226" s="15">
        <f t="shared" si="35"/>
        <v>5.5560000000000009</v>
      </c>
      <c r="L1226" s="24">
        <v>500.40756243028488</v>
      </c>
      <c r="M1226" s="5">
        <f t="shared" si="34"/>
        <v>3.8800000000000026</v>
      </c>
      <c r="N1226" s="5"/>
      <c r="O1226" s="15">
        <f>30290*1.6978</f>
        <v>51426.362000000001</v>
      </c>
      <c r="P1226" s="5"/>
      <c r="Q1226" s="5"/>
      <c r="R1226" s="5">
        <v>1</v>
      </c>
      <c r="S1226" s="5"/>
      <c r="T1226" s="5"/>
      <c r="U1226" s="5"/>
      <c r="V1226" s="15">
        <f>15*0.7457</f>
        <v>11.185500000000001</v>
      </c>
      <c r="W1226" s="5"/>
      <c r="X1226" s="5"/>
      <c r="Y1226" s="5" t="s">
        <v>48</v>
      </c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16" t="s">
        <v>48</v>
      </c>
      <c r="AN1226" s="5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8"/>
      <c r="BS1226" s="8"/>
      <c r="BT1226" s="8"/>
      <c r="BU1226" s="8"/>
      <c r="BV1226" s="8"/>
      <c r="BW1226" s="8"/>
      <c r="BX1226" s="8"/>
      <c r="BY1226" s="8"/>
      <c r="BZ1226" s="8"/>
      <c r="CA1226" s="8"/>
      <c r="CB1226" s="8"/>
      <c r="CC1226" s="8"/>
      <c r="CD1226" s="8"/>
      <c r="CE1226" s="8"/>
      <c r="CF1226" s="8"/>
      <c r="CG1226" s="8"/>
      <c r="CH1226" s="8"/>
      <c r="CI1226" s="8"/>
      <c r="CJ1226" s="8"/>
      <c r="CK1226" s="8"/>
      <c r="CL1226" s="8"/>
      <c r="CM1226" s="8"/>
      <c r="CN1226" s="8"/>
      <c r="CO1226" s="8"/>
      <c r="CP1226" s="8"/>
      <c r="CQ1226" s="8"/>
      <c r="CR1226" s="8"/>
      <c r="CS1226" s="8"/>
      <c r="CT1226" s="8"/>
      <c r="CU1226" s="8"/>
      <c r="CV1226" s="8"/>
      <c r="CW1226" s="8"/>
      <c r="CX1226" s="8"/>
      <c r="CY1226" s="8"/>
      <c r="CZ1226" s="8"/>
      <c r="DA1226" s="8"/>
      <c r="DB1226" s="8"/>
      <c r="DC1226" s="8"/>
      <c r="DD1226" s="8"/>
      <c r="DE1226" s="8"/>
      <c r="DF1226" s="8"/>
      <c r="DG1226" s="8"/>
      <c r="DH1226" s="8"/>
      <c r="DI1226" s="8"/>
      <c r="DJ1226" s="8"/>
      <c r="DK1226" s="8"/>
      <c r="DL1226" s="8"/>
      <c r="DM1226" s="8"/>
      <c r="DN1226" s="8"/>
      <c r="DO1226" s="8"/>
      <c r="DP1226" s="8"/>
      <c r="DQ1226" s="8"/>
      <c r="DR1226" s="8"/>
      <c r="DS1226" s="8"/>
      <c r="DT1226" s="8"/>
      <c r="DU1226" s="8"/>
      <c r="DV1226" s="8"/>
      <c r="DW1226" s="8"/>
      <c r="DX1226" s="8"/>
      <c r="DY1226" s="8"/>
      <c r="DZ1226" s="8"/>
      <c r="EA1226" s="8"/>
      <c r="EB1226" s="8"/>
      <c r="EC1226" s="8"/>
      <c r="ED1226" s="8"/>
      <c r="EE1226" s="8"/>
      <c r="EF1226" s="8"/>
      <c r="EG1226" s="8"/>
      <c r="EH1226" s="8"/>
      <c r="EI1226" s="8"/>
      <c r="EJ1226" s="8"/>
      <c r="EK1226" s="8"/>
      <c r="EL1226" s="8"/>
      <c r="EM1226" s="8"/>
      <c r="EN1226" s="8"/>
      <c r="EO1226" s="8"/>
      <c r="EP1226" s="8"/>
      <c r="EQ1226" s="8"/>
      <c r="ER1226" s="8"/>
      <c r="ES1226" s="8"/>
      <c r="ET1226" s="8"/>
      <c r="EU1226" s="8"/>
      <c r="EV1226" s="8"/>
      <c r="EW1226" s="8"/>
      <c r="EX1226" s="8"/>
      <c r="EY1226" s="8"/>
      <c r="EZ1226" s="8"/>
      <c r="FA1226" s="8"/>
      <c r="FB1226" s="8"/>
      <c r="FC1226" s="8"/>
      <c r="FD1226" s="8"/>
      <c r="FE1226" s="8"/>
      <c r="FF1226" s="8"/>
      <c r="FG1226" s="8"/>
      <c r="FH1226" s="8"/>
      <c r="FI1226" s="8"/>
      <c r="FJ1226" s="8"/>
      <c r="FK1226" s="8"/>
      <c r="FL1226" s="8"/>
      <c r="FM1226" s="8"/>
      <c r="FN1226" s="8"/>
      <c r="FO1226" s="8"/>
      <c r="FP1226" s="8"/>
      <c r="FQ1226" s="8"/>
      <c r="FR1226" s="8"/>
      <c r="FS1226" s="8"/>
      <c r="FT1226" s="8"/>
      <c r="FU1226" s="8"/>
      <c r="FV1226" s="8"/>
      <c r="FW1226" s="8"/>
      <c r="FX1226" s="8"/>
      <c r="FY1226" s="8"/>
      <c r="FZ1226" s="8"/>
      <c r="GA1226" s="8"/>
      <c r="GB1226" s="8"/>
      <c r="GC1226" s="8"/>
      <c r="GD1226" s="8"/>
      <c r="GE1226" s="8"/>
      <c r="GF1226" s="8"/>
      <c r="GG1226" s="8"/>
      <c r="GH1226" s="8"/>
      <c r="GI1226" s="8"/>
      <c r="GJ1226" s="8"/>
      <c r="GK1226" s="8"/>
      <c r="GL1226" s="8"/>
      <c r="GM1226" s="8"/>
      <c r="GN1226" s="8"/>
      <c r="GO1226" s="8"/>
      <c r="GP1226" s="8"/>
      <c r="GQ1226" s="8"/>
      <c r="GR1226" s="8"/>
      <c r="GS1226" s="8"/>
      <c r="GT1226" s="8"/>
      <c r="GU1226" s="8"/>
      <c r="GV1226" s="8"/>
      <c r="GW1226" s="8"/>
      <c r="GX1226" s="8"/>
      <c r="GY1226" s="8"/>
      <c r="GZ1226" s="8"/>
      <c r="HA1226" s="8"/>
      <c r="HB1226" s="8"/>
      <c r="HC1226" s="8"/>
      <c r="HD1226" s="8"/>
      <c r="HE1226" s="8"/>
      <c r="HF1226" s="8"/>
      <c r="HG1226" s="8"/>
      <c r="HH1226" s="8"/>
      <c r="HI1226" s="8"/>
      <c r="HJ1226" s="8"/>
      <c r="HK1226" s="8"/>
      <c r="HL1226" s="8"/>
      <c r="HM1226" s="8"/>
      <c r="HN1226" s="8"/>
      <c r="HO1226" s="8"/>
      <c r="HP1226" s="8"/>
      <c r="HQ1226" s="8"/>
      <c r="HR1226" s="8"/>
      <c r="HS1226" s="8"/>
      <c r="HT1226" s="8"/>
      <c r="HU1226" s="8"/>
      <c r="HV1226" s="8"/>
      <c r="HW1226" s="8"/>
      <c r="HX1226" s="8"/>
      <c r="HY1226" s="8"/>
      <c r="HZ1226" s="8"/>
      <c r="IA1226" s="8"/>
      <c r="IB1226" s="8"/>
      <c r="IC1226" s="8"/>
      <c r="ID1226" s="8"/>
      <c r="IE1226" s="8"/>
      <c r="IF1226" s="8"/>
    </row>
    <row r="1227" spans="1:240" ht="30" customHeight="1">
      <c r="A1227" s="5">
        <v>1225</v>
      </c>
      <c r="B1227" s="5"/>
      <c r="C1227" s="5"/>
      <c r="D1227" s="5" t="s">
        <v>68</v>
      </c>
      <c r="E1227" s="5" t="s">
        <v>48</v>
      </c>
      <c r="F1227" s="5" t="s">
        <v>48</v>
      </c>
      <c r="G1227" s="5" t="s">
        <v>48</v>
      </c>
      <c r="H1227" s="15">
        <f>5590*0.454</f>
        <v>2537.86</v>
      </c>
      <c r="I1227" s="5" t="s">
        <v>13</v>
      </c>
      <c r="J1227" s="15">
        <f>369/4.4</f>
        <v>83.86363636363636</v>
      </c>
      <c r="K1227" s="15">
        <f t="shared" si="35"/>
        <v>5.5560000000000009</v>
      </c>
      <c r="L1227" s="24">
        <v>538.33933101100615</v>
      </c>
      <c r="M1227" s="5">
        <f t="shared" si="34"/>
        <v>3.8800000000000026</v>
      </c>
      <c r="N1227" s="5"/>
      <c r="O1227" s="15">
        <f>29960*1.6978</f>
        <v>50866.087999999996</v>
      </c>
      <c r="P1227" s="5"/>
      <c r="Q1227" s="5"/>
      <c r="R1227" s="5">
        <v>1</v>
      </c>
      <c r="S1227" s="5"/>
      <c r="T1227" s="5"/>
      <c r="U1227" s="5"/>
      <c r="V1227" s="15">
        <f>15*0.7457</f>
        <v>11.185500000000001</v>
      </c>
      <c r="W1227" s="5"/>
      <c r="X1227" s="5"/>
      <c r="Y1227" s="5" t="s">
        <v>48</v>
      </c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16" t="s">
        <v>48</v>
      </c>
      <c r="AN1227" s="5"/>
      <c r="AO1227" s="8"/>
      <c r="AP1227" s="8"/>
      <c r="AQ1227" s="8"/>
      <c r="AR1227" s="8"/>
      <c r="AS1227" s="8"/>
      <c r="AT1227" s="8"/>
      <c r="AU1227" s="8"/>
      <c r="AV1227" s="8"/>
      <c r="AW1227" s="8"/>
      <c r="AX1227" s="8"/>
      <c r="AY1227" s="8"/>
      <c r="AZ1227" s="8"/>
      <c r="BA1227" s="8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8"/>
      <c r="BS1227" s="8"/>
      <c r="BT1227" s="8"/>
      <c r="BU1227" s="8"/>
      <c r="BV1227" s="8"/>
      <c r="BW1227" s="8"/>
      <c r="BX1227" s="8"/>
      <c r="BY1227" s="8"/>
      <c r="BZ1227" s="8"/>
      <c r="CA1227" s="8"/>
      <c r="CB1227" s="8"/>
      <c r="CC1227" s="8"/>
      <c r="CD1227" s="8"/>
      <c r="CE1227" s="8"/>
      <c r="CF1227" s="8"/>
      <c r="CG1227" s="8"/>
      <c r="CH1227" s="8"/>
      <c r="CI1227" s="8"/>
      <c r="CJ1227" s="8"/>
      <c r="CK1227" s="8"/>
      <c r="CL1227" s="8"/>
      <c r="CM1227" s="8"/>
      <c r="CN1227" s="8"/>
      <c r="CO1227" s="8"/>
      <c r="CP1227" s="8"/>
      <c r="CQ1227" s="8"/>
      <c r="CR1227" s="8"/>
      <c r="CS1227" s="8"/>
      <c r="CT1227" s="8"/>
      <c r="CU1227" s="8"/>
      <c r="CV1227" s="8"/>
      <c r="CW1227" s="8"/>
      <c r="CX1227" s="8"/>
      <c r="CY1227" s="8"/>
      <c r="CZ1227" s="8"/>
      <c r="DA1227" s="8"/>
      <c r="DB1227" s="8"/>
      <c r="DC1227" s="8"/>
      <c r="DD1227" s="8"/>
      <c r="DE1227" s="8"/>
      <c r="DF1227" s="8"/>
      <c r="DG1227" s="8"/>
      <c r="DH1227" s="8"/>
      <c r="DI1227" s="8"/>
      <c r="DJ1227" s="8"/>
      <c r="DK1227" s="8"/>
      <c r="DL1227" s="8"/>
      <c r="DM1227" s="8"/>
      <c r="DN1227" s="8"/>
      <c r="DO1227" s="8"/>
      <c r="DP1227" s="8"/>
      <c r="DQ1227" s="8"/>
      <c r="DR1227" s="8"/>
      <c r="DS1227" s="8"/>
      <c r="DT1227" s="8"/>
      <c r="DU1227" s="8"/>
      <c r="DV1227" s="8"/>
      <c r="DW1227" s="8"/>
      <c r="DX1227" s="8"/>
      <c r="DY1227" s="8"/>
      <c r="DZ1227" s="8"/>
      <c r="EA1227" s="8"/>
      <c r="EB1227" s="8"/>
      <c r="EC1227" s="8"/>
      <c r="ED1227" s="8"/>
      <c r="EE1227" s="8"/>
      <c r="EF1227" s="8"/>
      <c r="EG1227" s="8"/>
      <c r="EH1227" s="8"/>
      <c r="EI1227" s="8"/>
      <c r="EJ1227" s="8"/>
      <c r="EK1227" s="8"/>
      <c r="EL1227" s="8"/>
      <c r="EM1227" s="8"/>
      <c r="EN1227" s="8"/>
      <c r="EO1227" s="8"/>
      <c r="EP1227" s="8"/>
      <c r="EQ1227" s="8"/>
      <c r="ER1227" s="8"/>
      <c r="ES1227" s="8"/>
      <c r="ET1227" s="8"/>
      <c r="EU1227" s="8"/>
      <c r="EV1227" s="8"/>
      <c r="EW1227" s="8"/>
      <c r="EX1227" s="8"/>
      <c r="EY1227" s="8"/>
      <c r="EZ1227" s="8"/>
      <c r="FA1227" s="8"/>
      <c r="FB1227" s="8"/>
      <c r="FC1227" s="8"/>
      <c r="FD1227" s="8"/>
      <c r="FE1227" s="8"/>
      <c r="FF1227" s="8"/>
      <c r="FG1227" s="8"/>
      <c r="FH1227" s="8"/>
      <c r="FI1227" s="8"/>
      <c r="FJ1227" s="8"/>
      <c r="FK1227" s="8"/>
      <c r="FL1227" s="8"/>
      <c r="FM1227" s="8"/>
      <c r="FN1227" s="8"/>
      <c r="FO1227" s="8"/>
      <c r="FP1227" s="8"/>
      <c r="FQ1227" s="8"/>
      <c r="FR1227" s="8"/>
      <c r="FS1227" s="8"/>
      <c r="FT1227" s="8"/>
      <c r="FU1227" s="8"/>
      <c r="FV1227" s="8"/>
      <c r="FW1227" s="8"/>
      <c r="FX1227" s="8"/>
      <c r="FY1227" s="8"/>
      <c r="FZ1227" s="8"/>
      <c r="GA1227" s="8"/>
      <c r="GB1227" s="8"/>
      <c r="GC1227" s="8"/>
      <c r="GD1227" s="8"/>
      <c r="GE1227" s="8"/>
      <c r="GF1227" s="8"/>
      <c r="GG1227" s="8"/>
      <c r="GH1227" s="8"/>
      <c r="GI1227" s="8"/>
      <c r="GJ1227" s="8"/>
      <c r="GK1227" s="8"/>
      <c r="GL1227" s="8"/>
      <c r="GM1227" s="8"/>
      <c r="GN1227" s="8"/>
      <c r="GO1227" s="8"/>
      <c r="GP1227" s="8"/>
      <c r="GQ1227" s="8"/>
      <c r="GR1227" s="8"/>
      <c r="GS1227" s="8"/>
      <c r="GT1227" s="8"/>
      <c r="GU1227" s="8"/>
      <c r="GV1227" s="8"/>
      <c r="GW1227" s="8"/>
      <c r="GX1227" s="8"/>
      <c r="GY1227" s="8"/>
      <c r="GZ1227" s="8"/>
      <c r="HA1227" s="8"/>
      <c r="HB1227" s="8"/>
      <c r="HC1227" s="8"/>
      <c r="HD1227" s="8"/>
      <c r="HE1227" s="8"/>
      <c r="HF1227" s="8"/>
      <c r="HG1227" s="8"/>
      <c r="HH1227" s="8"/>
      <c r="HI1227" s="8"/>
      <c r="HJ1227" s="8"/>
      <c r="HK1227" s="8"/>
      <c r="HL1227" s="8"/>
      <c r="HM1227" s="8"/>
      <c r="HN1227" s="8"/>
      <c r="HO1227" s="8"/>
      <c r="HP1227" s="8"/>
      <c r="HQ1227" s="8"/>
      <c r="HR1227" s="8"/>
      <c r="HS1227" s="8"/>
      <c r="HT1227" s="8"/>
      <c r="HU1227" s="8"/>
      <c r="HV1227" s="8"/>
      <c r="HW1227" s="8"/>
      <c r="HX1227" s="8"/>
      <c r="HY1227" s="8"/>
      <c r="HZ1227" s="8"/>
      <c r="IA1227" s="8"/>
      <c r="IB1227" s="8"/>
      <c r="IC1227" s="8"/>
      <c r="ID1227" s="8"/>
      <c r="IE1227" s="8"/>
      <c r="IF1227" s="8"/>
    </row>
    <row r="1228" spans="1:240" ht="30" customHeight="1">
      <c r="A1228" s="5">
        <v>1226</v>
      </c>
      <c r="B1228" s="5"/>
      <c r="C1228" s="5"/>
      <c r="D1228" s="5" t="s">
        <v>68</v>
      </c>
      <c r="E1228" s="5" t="s">
        <v>48</v>
      </c>
      <c r="F1228" s="5" t="s">
        <v>48</v>
      </c>
      <c r="G1228" s="5" t="s">
        <v>48</v>
      </c>
      <c r="H1228" s="15">
        <f>5600*0.454</f>
        <v>2542.4</v>
      </c>
      <c r="I1228" s="5" t="s">
        <v>13</v>
      </c>
      <c r="J1228" s="15">
        <f>392/4.4</f>
        <v>89.090909090909079</v>
      </c>
      <c r="K1228" s="15">
        <f t="shared" si="35"/>
        <v>5.5560000000000009</v>
      </c>
      <c r="L1228" s="24">
        <v>571.89435706318272</v>
      </c>
      <c r="M1228" s="5">
        <f t="shared" si="34"/>
        <v>3.8800000000000026</v>
      </c>
      <c r="N1228" s="5"/>
      <c r="O1228" s="15">
        <f>32110*1.6978</f>
        <v>54516.358</v>
      </c>
      <c r="P1228" s="5"/>
      <c r="Q1228" s="5"/>
      <c r="R1228" s="5">
        <v>1</v>
      </c>
      <c r="S1228" s="5"/>
      <c r="T1228" s="5"/>
      <c r="U1228" s="5"/>
      <c r="V1228" s="15">
        <f>20*0.7457</f>
        <v>14.914000000000001</v>
      </c>
      <c r="W1228" s="5"/>
      <c r="X1228" s="5"/>
      <c r="Y1228" s="5" t="s">
        <v>48</v>
      </c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16" t="s">
        <v>48</v>
      </c>
      <c r="AN1228" s="5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8"/>
      <c r="BS1228" s="8"/>
      <c r="BT1228" s="8"/>
      <c r="BU1228" s="8"/>
      <c r="BV1228" s="8"/>
      <c r="BW1228" s="8"/>
      <c r="BX1228" s="8"/>
      <c r="BY1228" s="8"/>
      <c r="BZ1228" s="8"/>
      <c r="CA1228" s="8"/>
      <c r="CB1228" s="8"/>
      <c r="CC1228" s="8"/>
      <c r="CD1228" s="8"/>
      <c r="CE1228" s="8"/>
      <c r="CF1228" s="8"/>
      <c r="CG1228" s="8"/>
      <c r="CH1228" s="8"/>
      <c r="CI1228" s="8"/>
      <c r="CJ1228" s="8"/>
      <c r="CK1228" s="8"/>
      <c r="CL1228" s="8"/>
      <c r="CM1228" s="8"/>
      <c r="CN1228" s="8"/>
      <c r="CO1228" s="8"/>
      <c r="CP1228" s="8"/>
      <c r="CQ1228" s="8"/>
      <c r="CR1228" s="8"/>
      <c r="CS1228" s="8"/>
      <c r="CT1228" s="8"/>
      <c r="CU1228" s="8"/>
      <c r="CV1228" s="8"/>
      <c r="CW1228" s="8"/>
      <c r="CX1228" s="8"/>
      <c r="CY1228" s="8"/>
      <c r="CZ1228" s="8"/>
      <c r="DA1228" s="8"/>
      <c r="DB1228" s="8"/>
      <c r="DC1228" s="8"/>
      <c r="DD1228" s="8"/>
      <c r="DE1228" s="8"/>
      <c r="DF1228" s="8"/>
      <c r="DG1228" s="8"/>
      <c r="DH1228" s="8"/>
      <c r="DI1228" s="8"/>
      <c r="DJ1228" s="8"/>
      <c r="DK1228" s="8"/>
      <c r="DL1228" s="8"/>
      <c r="DM1228" s="8"/>
      <c r="DN1228" s="8"/>
      <c r="DO1228" s="8"/>
      <c r="DP1228" s="8"/>
      <c r="DQ1228" s="8"/>
      <c r="DR1228" s="8"/>
      <c r="DS1228" s="8"/>
      <c r="DT1228" s="8"/>
      <c r="DU1228" s="8"/>
      <c r="DV1228" s="8"/>
      <c r="DW1228" s="8"/>
      <c r="DX1228" s="8"/>
      <c r="DY1228" s="8"/>
      <c r="DZ1228" s="8"/>
      <c r="EA1228" s="8"/>
      <c r="EB1228" s="8"/>
      <c r="EC1228" s="8"/>
      <c r="ED1228" s="8"/>
      <c r="EE1228" s="8"/>
      <c r="EF1228" s="8"/>
      <c r="EG1228" s="8"/>
      <c r="EH1228" s="8"/>
      <c r="EI1228" s="8"/>
      <c r="EJ1228" s="8"/>
      <c r="EK1228" s="8"/>
      <c r="EL1228" s="8"/>
      <c r="EM1228" s="8"/>
      <c r="EN1228" s="8"/>
      <c r="EO1228" s="8"/>
      <c r="EP1228" s="8"/>
      <c r="EQ1228" s="8"/>
      <c r="ER1228" s="8"/>
      <c r="ES1228" s="8"/>
      <c r="ET1228" s="8"/>
      <c r="EU1228" s="8"/>
      <c r="EV1228" s="8"/>
      <c r="EW1228" s="8"/>
      <c r="EX1228" s="8"/>
      <c r="EY1228" s="8"/>
      <c r="EZ1228" s="8"/>
      <c r="FA1228" s="8"/>
      <c r="FB1228" s="8"/>
      <c r="FC1228" s="8"/>
      <c r="FD1228" s="8"/>
      <c r="FE1228" s="8"/>
      <c r="FF1228" s="8"/>
      <c r="FG1228" s="8"/>
      <c r="FH1228" s="8"/>
      <c r="FI1228" s="8"/>
      <c r="FJ1228" s="8"/>
      <c r="FK1228" s="8"/>
      <c r="FL1228" s="8"/>
      <c r="FM1228" s="8"/>
      <c r="FN1228" s="8"/>
      <c r="FO1228" s="8"/>
      <c r="FP1228" s="8"/>
      <c r="FQ1228" s="8"/>
      <c r="FR1228" s="8"/>
      <c r="FS1228" s="8"/>
      <c r="FT1228" s="8"/>
      <c r="FU1228" s="8"/>
      <c r="FV1228" s="8"/>
      <c r="FW1228" s="8"/>
      <c r="FX1228" s="8"/>
      <c r="FY1228" s="8"/>
      <c r="FZ1228" s="8"/>
      <c r="GA1228" s="8"/>
      <c r="GB1228" s="8"/>
      <c r="GC1228" s="8"/>
      <c r="GD1228" s="8"/>
      <c r="GE1228" s="8"/>
      <c r="GF1228" s="8"/>
      <c r="GG1228" s="8"/>
      <c r="GH1228" s="8"/>
      <c r="GI1228" s="8"/>
      <c r="GJ1228" s="8"/>
      <c r="GK1228" s="8"/>
      <c r="GL1228" s="8"/>
      <c r="GM1228" s="8"/>
      <c r="GN1228" s="8"/>
      <c r="GO1228" s="8"/>
      <c r="GP1228" s="8"/>
      <c r="GQ1228" s="8"/>
      <c r="GR1228" s="8"/>
      <c r="GS1228" s="8"/>
      <c r="GT1228" s="8"/>
      <c r="GU1228" s="8"/>
      <c r="GV1228" s="8"/>
      <c r="GW1228" s="8"/>
      <c r="GX1228" s="8"/>
      <c r="GY1228" s="8"/>
      <c r="GZ1228" s="8"/>
      <c r="HA1228" s="8"/>
      <c r="HB1228" s="8"/>
      <c r="HC1228" s="8"/>
      <c r="HD1228" s="8"/>
      <c r="HE1228" s="8"/>
      <c r="HF1228" s="8"/>
      <c r="HG1228" s="8"/>
      <c r="HH1228" s="8"/>
      <c r="HI1228" s="8"/>
      <c r="HJ1228" s="8"/>
      <c r="HK1228" s="8"/>
      <c r="HL1228" s="8"/>
      <c r="HM1228" s="8"/>
      <c r="HN1228" s="8"/>
      <c r="HO1228" s="8"/>
      <c r="HP1228" s="8"/>
      <c r="HQ1228" s="8"/>
      <c r="HR1228" s="8"/>
      <c r="HS1228" s="8"/>
      <c r="HT1228" s="8"/>
      <c r="HU1228" s="8"/>
      <c r="HV1228" s="8"/>
      <c r="HW1228" s="8"/>
      <c r="HX1228" s="8"/>
      <c r="HY1228" s="8"/>
      <c r="HZ1228" s="8"/>
      <c r="IA1228" s="8"/>
      <c r="IB1228" s="8"/>
      <c r="IC1228" s="8"/>
      <c r="ID1228" s="8"/>
      <c r="IE1228" s="8"/>
      <c r="IF1228" s="8"/>
    </row>
    <row r="1229" spans="1:240" ht="30" customHeight="1">
      <c r="A1229" s="5">
        <v>1227</v>
      </c>
      <c r="B1229" s="5"/>
      <c r="C1229" s="5"/>
      <c r="D1229" s="5" t="s">
        <v>68</v>
      </c>
      <c r="E1229" s="5" t="s">
        <v>48</v>
      </c>
      <c r="F1229" s="5" t="s">
        <v>48</v>
      </c>
      <c r="G1229" s="5" t="s">
        <v>48</v>
      </c>
      <c r="H1229" s="15">
        <f>5770*0.454</f>
        <v>2619.58</v>
      </c>
      <c r="I1229" s="5" t="s">
        <v>13</v>
      </c>
      <c r="J1229" s="15">
        <f>417/4.4</f>
        <v>94.772727272727266</v>
      </c>
      <c r="K1229" s="15">
        <f t="shared" si="35"/>
        <v>5.5560000000000009</v>
      </c>
      <c r="L1229" s="24">
        <v>608.36721146772243</v>
      </c>
      <c r="M1229" s="5">
        <f t="shared" si="34"/>
        <v>3.8800000000000026</v>
      </c>
      <c r="N1229" s="5"/>
      <c r="O1229" s="15">
        <f>29590*1.6978</f>
        <v>50237.902000000002</v>
      </c>
      <c r="P1229" s="5"/>
      <c r="Q1229" s="5"/>
      <c r="R1229" s="5">
        <v>1</v>
      </c>
      <c r="S1229" s="5"/>
      <c r="T1229" s="5"/>
      <c r="U1229" s="5"/>
      <c r="V1229" s="15">
        <f>15*0.7457</f>
        <v>11.185500000000001</v>
      </c>
      <c r="W1229" s="5"/>
      <c r="X1229" s="5"/>
      <c r="Y1229" s="5" t="s">
        <v>48</v>
      </c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16" t="s">
        <v>48</v>
      </c>
      <c r="AN1229" s="5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8"/>
      <c r="BS1229" s="8"/>
      <c r="BT1229" s="8"/>
      <c r="BU1229" s="8"/>
      <c r="BV1229" s="8"/>
      <c r="BW1229" s="8"/>
      <c r="BX1229" s="8"/>
      <c r="BY1229" s="8"/>
      <c r="BZ1229" s="8"/>
      <c r="CA1229" s="8"/>
      <c r="CB1229" s="8"/>
      <c r="CC1229" s="8"/>
      <c r="CD1229" s="8"/>
      <c r="CE1229" s="8"/>
      <c r="CF1229" s="8"/>
      <c r="CG1229" s="8"/>
      <c r="CH1229" s="8"/>
      <c r="CI1229" s="8"/>
      <c r="CJ1229" s="8"/>
      <c r="CK1229" s="8"/>
      <c r="CL1229" s="8"/>
      <c r="CM1229" s="8"/>
      <c r="CN1229" s="8"/>
      <c r="CO1229" s="8"/>
      <c r="CP1229" s="8"/>
      <c r="CQ1229" s="8"/>
      <c r="CR1229" s="8"/>
      <c r="CS1229" s="8"/>
      <c r="CT1229" s="8"/>
      <c r="CU1229" s="8"/>
      <c r="CV1229" s="8"/>
      <c r="CW1229" s="8"/>
      <c r="CX1229" s="8"/>
      <c r="CY1229" s="8"/>
      <c r="CZ1229" s="8"/>
      <c r="DA1229" s="8"/>
      <c r="DB1229" s="8"/>
      <c r="DC1229" s="8"/>
      <c r="DD1229" s="8"/>
      <c r="DE1229" s="8"/>
      <c r="DF1229" s="8"/>
      <c r="DG1229" s="8"/>
      <c r="DH1229" s="8"/>
      <c r="DI1229" s="8"/>
      <c r="DJ1229" s="8"/>
      <c r="DK1229" s="8"/>
      <c r="DL1229" s="8"/>
      <c r="DM1229" s="8"/>
      <c r="DN1229" s="8"/>
      <c r="DO1229" s="8"/>
      <c r="DP1229" s="8"/>
      <c r="DQ1229" s="8"/>
      <c r="DR1229" s="8"/>
      <c r="DS1229" s="8"/>
      <c r="DT1229" s="8"/>
      <c r="DU1229" s="8"/>
      <c r="DV1229" s="8"/>
      <c r="DW1229" s="8"/>
      <c r="DX1229" s="8"/>
      <c r="DY1229" s="8"/>
      <c r="DZ1229" s="8"/>
      <c r="EA1229" s="8"/>
      <c r="EB1229" s="8"/>
      <c r="EC1229" s="8"/>
      <c r="ED1229" s="8"/>
      <c r="EE1229" s="8"/>
      <c r="EF1229" s="8"/>
      <c r="EG1229" s="8"/>
      <c r="EH1229" s="8"/>
      <c r="EI1229" s="8"/>
      <c r="EJ1229" s="8"/>
      <c r="EK1229" s="8"/>
      <c r="EL1229" s="8"/>
      <c r="EM1229" s="8"/>
      <c r="EN1229" s="8"/>
      <c r="EO1229" s="8"/>
      <c r="EP1229" s="8"/>
      <c r="EQ1229" s="8"/>
      <c r="ER1229" s="8"/>
      <c r="ES1229" s="8"/>
      <c r="ET1229" s="8"/>
      <c r="EU1229" s="8"/>
      <c r="EV1229" s="8"/>
      <c r="EW1229" s="8"/>
      <c r="EX1229" s="8"/>
      <c r="EY1229" s="8"/>
      <c r="EZ1229" s="8"/>
      <c r="FA1229" s="8"/>
      <c r="FB1229" s="8"/>
      <c r="FC1229" s="8"/>
      <c r="FD1229" s="8"/>
      <c r="FE1229" s="8"/>
      <c r="FF1229" s="8"/>
      <c r="FG1229" s="8"/>
      <c r="FH1229" s="8"/>
      <c r="FI1229" s="8"/>
      <c r="FJ1229" s="8"/>
      <c r="FK1229" s="8"/>
      <c r="FL1229" s="8"/>
      <c r="FM1229" s="8"/>
      <c r="FN1229" s="8"/>
      <c r="FO1229" s="8"/>
      <c r="FP1229" s="8"/>
      <c r="FQ1229" s="8"/>
      <c r="FR1229" s="8"/>
      <c r="FS1229" s="8"/>
      <c r="FT1229" s="8"/>
      <c r="FU1229" s="8"/>
      <c r="FV1229" s="8"/>
      <c r="FW1229" s="8"/>
      <c r="FX1229" s="8"/>
      <c r="FY1229" s="8"/>
      <c r="FZ1229" s="8"/>
      <c r="GA1229" s="8"/>
      <c r="GB1229" s="8"/>
      <c r="GC1229" s="8"/>
      <c r="GD1229" s="8"/>
      <c r="GE1229" s="8"/>
      <c r="GF1229" s="8"/>
      <c r="GG1229" s="8"/>
      <c r="GH1229" s="8"/>
      <c r="GI1229" s="8"/>
      <c r="GJ1229" s="8"/>
      <c r="GK1229" s="8"/>
      <c r="GL1229" s="8"/>
      <c r="GM1229" s="8"/>
      <c r="GN1229" s="8"/>
      <c r="GO1229" s="8"/>
      <c r="GP1229" s="8"/>
      <c r="GQ1229" s="8"/>
      <c r="GR1229" s="8"/>
      <c r="GS1229" s="8"/>
      <c r="GT1229" s="8"/>
      <c r="GU1229" s="8"/>
      <c r="GV1229" s="8"/>
      <c r="GW1229" s="8"/>
      <c r="GX1229" s="8"/>
      <c r="GY1229" s="8"/>
      <c r="GZ1229" s="8"/>
      <c r="HA1229" s="8"/>
      <c r="HB1229" s="8"/>
      <c r="HC1229" s="8"/>
      <c r="HD1229" s="8"/>
      <c r="HE1229" s="8"/>
      <c r="HF1229" s="8"/>
      <c r="HG1229" s="8"/>
      <c r="HH1229" s="8"/>
      <c r="HI1229" s="8"/>
      <c r="HJ1229" s="8"/>
      <c r="HK1229" s="8"/>
      <c r="HL1229" s="8"/>
      <c r="HM1229" s="8"/>
      <c r="HN1229" s="8"/>
      <c r="HO1229" s="8"/>
      <c r="HP1229" s="8"/>
      <c r="HQ1229" s="8"/>
      <c r="HR1229" s="8"/>
      <c r="HS1229" s="8"/>
      <c r="HT1229" s="8"/>
      <c r="HU1229" s="8"/>
      <c r="HV1229" s="8"/>
      <c r="HW1229" s="8"/>
      <c r="HX1229" s="8"/>
      <c r="HY1229" s="8"/>
      <c r="HZ1229" s="8"/>
      <c r="IA1229" s="8"/>
      <c r="IB1229" s="8"/>
      <c r="IC1229" s="8"/>
      <c r="ID1229" s="8"/>
      <c r="IE1229" s="8"/>
      <c r="IF1229" s="8"/>
    </row>
    <row r="1230" spans="1:240" ht="30" customHeight="1">
      <c r="A1230" s="5">
        <v>1228</v>
      </c>
      <c r="B1230" s="5"/>
      <c r="C1230" s="5"/>
      <c r="D1230" s="5" t="s">
        <v>68</v>
      </c>
      <c r="E1230" s="5" t="s">
        <v>48</v>
      </c>
      <c r="F1230" s="5" t="s">
        <v>48</v>
      </c>
      <c r="G1230" s="5" t="s">
        <v>48</v>
      </c>
      <c r="H1230" s="15">
        <f>5830*0.454</f>
        <v>2646.82</v>
      </c>
      <c r="I1230" s="5" t="s">
        <v>13</v>
      </c>
      <c r="J1230" s="15">
        <f>456/4.4</f>
        <v>103.63636363636363</v>
      </c>
      <c r="K1230" s="15">
        <f t="shared" si="35"/>
        <v>5.5560000000000009</v>
      </c>
      <c r="L1230" s="24">
        <v>665.26486433880427</v>
      </c>
      <c r="M1230" s="5">
        <f t="shared" si="34"/>
        <v>3.8800000000000026</v>
      </c>
      <c r="N1230" s="5"/>
      <c r="O1230" s="15">
        <f>32110*1.6978</f>
        <v>54516.358</v>
      </c>
      <c r="P1230" s="5"/>
      <c r="Q1230" s="5"/>
      <c r="R1230" s="5">
        <v>1</v>
      </c>
      <c r="S1230" s="5"/>
      <c r="T1230" s="5"/>
      <c r="U1230" s="5"/>
      <c r="V1230" s="15">
        <f>20*0.7457</f>
        <v>14.914000000000001</v>
      </c>
      <c r="W1230" s="5"/>
      <c r="X1230" s="5"/>
      <c r="Y1230" s="5" t="s">
        <v>48</v>
      </c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16" t="s">
        <v>48</v>
      </c>
      <c r="AN1230" s="5"/>
      <c r="AO1230" s="8"/>
      <c r="AP1230" s="8"/>
      <c r="AQ1230" s="8"/>
      <c r="AR1230" s="8"/>
      <c r="AS1230" s="8"/>
      <c r="AT1230" s="8"/>
      <c r="AU1230" s="8"/>
      <c r="AV1230" s="8"/>
      <c r="AW1230" s="8"/>
      <c r="AX1230" s="8"/>
      <c r="AY1230" s="8"/>
      <c r="AZ1230" s="8"/>
      <c r="BA1230" s="8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8"/>
      <c r="BS1230" s="8"/>
      <c r="BT1230" s="8"/>
      <c r="BU1230" s="8"/>
      <c r="BV1230" s="8"/>
      <c r="BW1230" s="8"/>
      <c r="BX1230" s="8"/>
      <c r="BY1230" s="8"/>
      <c r="BZ1230" s="8"/>
      <c r="CA1230" s="8"/>
      <c r="CB1230" s="8"/>
      <c r="CC1230" s="8"/>
      <c r="CD1230" s="8"/>
      <c r="CE1230" s="8"/>
      <c r="CF1230" s="8"/>
      <c r="CG1230" s="8"/>
      <c r="CH1230" s="8"/>
      <c r="CI1230" s="8"/>
      <c r="CJ1230" s="8"/>
      <c r="CK1230" s="8"/>
      <c r="CL1230" s="8"/>
      <c r="CM1230" s="8"/>
      <c r="CN1230" s="8"/>
      <c r="CO1230" s="8"/>
      <c r="CP1230" s="8"/>
      <c r="CQ1230" s="8"/>
      <c r="CR1230" s="8"/>
      <c r="CS1230" s="8"/>
      <c r="CT1230" s="8"/>
      <c r="CU1230" s="8"/>
      <c r="CV1230" s="8"/>
      <c r="CW1230" s="8"/>
      <c r="CX1230" s="8"/>
      <c r="CY1230" s="8"/>
      <c r="CZ1230" s="8"/>
      <c r="DA1230" s="8"/>
      <c r="DB1230" s="8"/>
      <c r="DC1230" s="8"/>
      <c r="DD1230" s="8"/>
      <c r="DE1230" s="8"/>
      <c r="DF1230" s="8"/>
      <c r="DG1230" s="8"/>
      <c r="DH1230" s="8"/>
      <c r="DI1230" s="8"/>
      <c r="DJ1230" s="8"/>
      <c r="DK1230" s="8"/>
      <c r="DL1230" s="8"/>
      <c r="DM1230" s="8"/>
      <c r="DN1230" s="8"/>
      <c r="DO1230" s="8"/>
      <c r="DP1230" s="8"/>
      <c r="DQ1230" s="8"/>
      <c r="DR1230" s="8"/>
      <c r="DS1230" s="8"/>
      <c r="DT1230" s="8"/>
      <c r="DU1230" s="8"/>
      <c r="DV1230" s="8"/>
      <c r="DW1230" s="8"/>
      <c r="DX1230" s="8"/>
      <c r="DY1230" s="8"/>
      <c r="DZ1230" s="8"/>
      <c r="EA1230" s="8"/>
      <c r="EB1230" s="8"/>
      <c r="EC1230" s="8"/>
      <c r="ED1230" s="8"/>
      <c r="EE1230" s="8"/>
      <c r="EF1230" s="8"/>
      <c r="EG1230" s="8"/>
      <c r="EH1230" s="8"/>
      <c r="EI1230" s="8"/>
      <c r="EJ1230" s="8"/>
      <c r="EK1230" s="8"/>
      <c r="EL1230" s="8"/>
      <c r="EM1230" s="8"/>
      <c r="EN1230" s="8"/>
      <c r="EO1230" s="8"/>
      <c r="EP1230" s="8"/>
      <c r="EQ1230" s="8"/>
      <c r="ER1230" s="8"/>
      <c r="ES1230" s="8"/>
      <c r="ET1230" s="8"/>
      <c r="EU1230" s="8"/>
      <c r="EV1230" s="8"/>
      <c r="EW1230" s="8"/>
      <c r="EX1230" s="8"/>
      <c r="EY1230" s="8"/>
      <c r="EZ1230" s="8"/>
      <c r="FA1230" s="8"/>
      <c r="FB1230" s="8"/>
      <c r="FC1230" s="8"/>
      <c r="FD1230" s="8"/>
      <c r="FE1230" s="8"/>
      <c r="FF1230" s="8"/>
      <c r="FG1230" s="8"/>
      <c r="FH1230" s="8"/>
      <c r="FI1230" s="8"/>
      <c r="FJ1230" s="8"/>
      <c r="FK1230" s="8"/>
      <c r="FL1230" s="8"/>
      <c r="FM1230" s="8"/>
      <c r="FN1230" s="8"/>
      <c r="FO1230" s="8"/>
      <c r="FP1230" s="8"/>
      <c r="FQ1230" s="8"/>
      <c r="FR1230" s="8"/>
      <c r="FS1230" s="8"/>
      <c r="FT1230" s="8"/>
      <c r="FU1230" s="8"/>
      <c r="FV1230" s="8"/>
      <c r="FW1230" s="8"/>
      <c r="FX1230" s="8"/>
      <c r="FY1230" s="8"/>
      <c r="FZ1230" s="8"/>
      <c r="GA1230" s="8"/>
      <c r="GB1230" s="8"/>
      <c r="GC1230" s="8"/>
      <c r="GD1230" s="8"/>
      <c r="GE1230" s="8"/>
      <c r="GF1230" s="8"/>
      <c r="GG1230" s="8"/>
      <c r="GH1230" s="8"/>
      <c r="GI1230" s="8"/>
      <c r="GJ1230" s="8"/>
      <c r="GK1230" s="8"/>
      <c r="GL1230" s="8"/>
      <c r="GM1230" s="8"/>
      <c r="GN1230" s="8"/>
      <c r="GO1230" s="8"/>
      <c r="GP1230" s="8"/>
      <c r="GQ1230" s="8"/>
      <c r="GR1230" s="8"/>
      <c r="GS1230" s="8"/>
      <c r="GT1230" s="8"/>
      <c r="GU1230" s="8"/>
      <c r="GV1230" s="8"/>
      <c r="GW1230" s="8"/>
      <c r="GX1230" s="8"/>
      <c r="GY1230" s="8"/>
      <c r="GZ1230" s="8"/>
      <c r="HA1230" s="8"/>
      <c r="HB1230" s="8"/>
      <c r="HC1230" s="8"/>
      <c r="HD1230" s="8"/>
      <c r="HE1230" s="8"/>
      <c r="HF1230" s="8"/>
      <c r="HG1230" s="8"/>
      <c r="HH1230" s="8"/>
      <c r="HI1230" s="8"/>
      <c r="HJ1230" s="8"/>
      <c r="HK1230" s="8"/>
      <c r="HL1230" s="8"/>
      <c r="HM1230" s="8"/>
      <c r="HN1230" s="8"/>
      <c r="HO1230" s="8"/>
      <c r="HP1230" s="8"/>
      <c r="HQ1230" s="8"/>
      <c r="HR1230" s="8"/>
      <c r="HS1230" s="8"/>
      <c r="HT1230" s="8"/>
      <c r="HU1230" s="8"/>
      <c r="HV1230" s="8"/>
      <c r="HW1230" s="8"/>
      <c r="HX1230" s="8"/>
      <c r="HY1230" s="8"/>
      <c r="HZ1230" s="8"/>
      <c r="IA1230" s="8"/>
      <c r="IB1230" s="8"/>
      <c r="IC1230" s="8"/>
      <c r="ID1230" s="8"/>
      <c r="IE1230" s="8"/>
      <c r="IF1230" s="8"/>
    </row>
    <row r="1231" spans="1:240" ht="30" customHeight="1">
      <c r="A1231" s="5">
        <v>1229</v>
      </c>
      <c r="B1231" s="5"/>
      <c r="C1231" s="5"/>
      <c r="D1231" s="5" t="s">
        <v>68</v>
      </c>
      <c r="E1231" s="5" t="s">
        <v>48</v>
      </c>
      <c r="F1231" s="5" t="s">
        <v>48</v>
      </c>
      <c r="G1231" s="5" t="s">
        <v>48</v>
      </c>
      <c r="H1231" s="15">
        <f>6990*0.454</f>
        <v>3173.46</v>
      </c>
      <c r="I1231" s="5" t="s">
        <v>13</v>
      </c>
      <c r="J1231" s="15">
        <f>407/4.4</f>
        <v>92.499999999999986</v>
      </c>
      <c r="K1231" s="15">
        <f t="shared" si="35"/>
        <v>5.5560000000000009</v>
      </c>
      <c r="L1231" s="24">
        <v>593.77806970590655</v>
      </c>
      <c r="M1231" s="5">
        <f t="shared" si="34"/>
        <v>3.8800000000000026</v>
      </c>
      <c r="N1231" s="5"/>
      <c r="O1231" s="15">
        <f>32190*1.6978</f>
        <v>54652.182000000001</v>
      </c>
      <c r="P1231" s="5"/>
      <c r="Q1231" s="5"/>
      <c r="R1231" s="5">
        <v>1</v>
      </c>
      <c r="S1231" s="5"/>
      <c r="T1231" s="5"/>
      <c r="U1231" s="5"/>
      <c r="V1231" s="15">
        <f>15*0.7457</f>
        <v>11.185500000000001</v>
      </c>
      <c r="W1231" s="5"/>
      <c r="X1231" s="5"/>
      <c r="Y1231" s="5" t="s">
        <v>48</v>
      </c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16" t="s">
        <v>48</v>
      </c>
      <c r="AN1231" s="5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8"/>
      <c r="BS1231" s="8"/>
      <c r="BT1231" s="8"/>
      <c r="BU1231" s="8"/>
      <c r="BV1231" s="8"/>
      <c r="BW1231" s="8"/>
      <c r="BX1231" s="8"/>
      <c r="BY1231" s="8"/>
      <c r="BZ1231" s="8"/>
      <c r="CA1231" s="8"/>
      <c r="CB1231" s="8"/>
      <c r="CC1231" s="8"/>
      <c r="CD1231" s="8"/>
      <c r="CE1231" s="8"/>
      <c r="CF1231" s="8"/>
      <c r="CG1231" s="8"/>
      <c r="CH1231" s="8"/>
      <c r="CI1231" s="8"/>
      <c r="CJ1231" s="8"/>
      <c r="CK1231" s="8"/>
      <c r="CL1231" s="8"/>
      <c r="CM1231" s="8"/>
      <c r="CN1231" s="8"/>
      <c r="CO1231" s="8"/>
      <c r="CP1231" s="8"/>
      <c r="CQ1231" s="8"/>
      <c r="CR1231" s="8"/>
      <c r="CS1231" s="8"/>
      <c r="CT1231" s="8"/>
      <c r="CU1231" s="8"/>
      <c r="CV1231" s="8"/>
      <c r="CW1231" s="8"/>
      <c r="CX1231" s="8"/>
      <c r="CY1231" s="8"/>
      <c r="CZ1231" s="8"/>
      <c r="DA1231" s="8"/>
      <c r="DB1231" s="8"/>
      <c r="DC1231" s="8"/>
      <c r="DD1231" s="8"/>
      <c r="DE1231" s="8"/>
      <c r="DF1231" s="8"/>
      <c r="DG1231" s="8"/>
      <c r="DH1231" s="8"/>
      <c r="DI1231" s="8"/>
      <c r="DJ1231" s="8"/>
      <c r="DK1231" s="8"/>
      <c r="DL1231" s="8"/>
      <c r="DM1231" s="8"/>
      <c r="DN1231" s="8"/>
      <c r="DO1231" s="8"/>
      <c r="DP1231" s="8"/>
      <c r="DQ1231" s="8"/>
      <c r="DR1231" s="8"/>
      <c r="DS1231" s="8"/>
      <c r="DT1231" s="8"/>
      <c r="DU1231" s="8"/>
      <c r="DV1231" s="8"/>
      <c r="DW1231" s="8"/>
      <c r="DX1231" s="8"/>
      <c r="DY1231" s="8"/>
      <c r="DZ1231" s="8"/>
      <c r="EA1231" s="8"/>
      <c r="EB1231" s="8"/>
      <c r="EC1231" s="8"/>
      <c r="ED1231" s="8"/>
      <c r="EE1231" s="8"/>
      <c r="EF1231" s="8"/>
      <c r="EG1231" s="8"/>
      <c r="EH1231" s="8"/>
      <c r="EI1231" s="8"/>
      <c r="EJ1231" s="8"/>
      <c r="EK1231" s="8"/>
      <c r="EL1231" s="8"/>
      <c r="EM1231" s="8"/>
      <c r="EN1231" s="8"/>
      <c r="EO1231" s="8"/>
      <c r="EP1231" s="8"/>
      <c r="EQ1231" s="8"/>
      <c r="ER1231" s="8"/>
      <c r="ES1231" s="8"/>
      <c r="ET1231" s="8"/>
      <c r="EU1231" s="8"/>
      <c r="EV1231" s="8"/>
      <c r="EW1231" s="8"/>
      <c r="EX1231" s="8"/>
      <c r="EY1231" s="8"/>
      <c r="EZ1231" s="8"/>
      <c r="FA1231" s="8"/>
      <c r="FB1231" s="8"/>
      <c r="FC1231" s="8"/>
      <c r="FD1231" s="8"/>
      <c r="FE1231" s="8"/>
      <c r="FF1231" s="8"/>
      <c r="FG1231" s="8"/>
      <c r="FH1231" s="8"/>
      <c r="FI1231" s="8"/>
      <c r="FJ1231" s="8"/>
      <c r="FK1231" s="8"/>
      <c r="FL1231" s="8"/>
      <c r="FM1231" s="8"/>
      <c r="FN1231" s="8"/>
      <c r="FO1231" s="8"/>
      <c r="FP1231" s="8"/>
      <c r="FQ1231" s="8"/>
      <c r="FR1231" s="8"/>
      <c r="FS1231" s="8"/>
      <c r="FT1231" s="8"/>
      <c r="FU1231" s="8"/>
      <c r="FV1231" s="8"/>
      <c r="FW1231" s="8"/>
      <c r="FX1231" s="8"/>
      <c r="FY1231" s="8"/>
      <c r="FZ1231" s="8"/>
      <c r="GA1231" s="8"/>
      <c r="GB1231" s="8"/>
      <c r="GC1231" s="8"/>
      <c r="GD1231" s="8"/>
      <c r="GE1231" s="8"/>
      <c r="GF1231" s="8"/>
      <c r="GG1231" s="8"/>
      <c r="GH1231" s="8"/>
      <c r="GI1231" s="8"/>
      <c r="GJ1231" s="8"/>
      <c r="GK1231" s="8"/>
      <c r="GL1231" s="8"/>
      <c r="GM1231" s="8"/>
      <c r="GN1231" s="8"/>
      <c r="GO1231" s="8"/>
      <c r="GP1231" s="8"/>
      <c r="GQ1231" s="8"/>
      <c r="GR1231" s="8"/>
      <c r="GS1231" s="8"/>
      <c r="GT1231" s="8"/>
      <c r="GU1231" s="8"/>
      <c r="GV1231" s="8"/>
      <c r="GW1231" s="8"/>
      <c r="GX1231" s="8"/>
      <c r="GY1231" s="8"/>
      <c r="GZ1231" s="8"/>
      <c r="HA1231" s="8"/>
      <c r="HB1231" s="8"/>
      <c r="HC1231" s="8"/>
      <c r="HD1231" s="8"/>
      <c r="HE1231" s="8"/>
      <c r="HF1231" s="8"/>
      <c r="HG1231" s="8"/>
      <c r="HH1231" s="8"/>
      <c r="HI1231" s="8"/>
      <c r="HJ1231" s="8"/>
      <c r="HK1231" s="8"/>
      <c r="HL1231" s="8"/>
      <c r="HM1231" s="8"/>
      <c r="HN1231" s="8"/>
      <c r="HO1231" s="8"/>
      <c r="HP1231" s="8"/>
      <c r="HQ1231" s="8"/>
      <c r="HR1231" s="8"/>
      <c r="HS1231" s="8"/>
      <c r="HT1231" s="8"/>
      <c r="HU1231" s="8"/>
      <c r="HV1231" s="8"/>
      <c r="HW1231" s="8"/>
      <c r="HX1231" s="8"/>
      <c r="HY1231" s="8"/>
      <c r="HZ1231" s="8"/>
      <c r="IA1231" s="8"/>
      <c r="IB1231" s="8"/>
      <c r="IC1231" s="8"/>
      <c r="ID1231" s="8"/>
      <c r="IE1231" s="8"/>
      <c r="IF1231" s="8"/>
    </row>
    <row r="1232" spans="1:240" ht="30" customHeight="1">
      <c r="A1232" s="5">
        <v>1230</v>
      </c>
      <c r="B1232" s="5"/>
      <c r="C1232" s="5"/>
      <c r="D1232" s="5" t="s">
        <v>68</v>
      </c>
      <c r="E1232" s="5" t="s">
        <v>48</v>
      </c>
      <c r="F1232" s="5" t="s">
        <v>48</v>
      </c>
      <c r="G1232" s="5" t="s">
        <v>48</v>
      </c>
      <c r="H1232" s="15">
        <f>7010*0.454</f>
        <v>3182.54</v>
      </c>
      <c r="I1232" s="5" t="s">
        <v>13</v>
      </c>
      <c r="J1232" s="15">
        <f>449/4.4</f>
        <v>102.04545454545453</v>
      </c>
      <c r="K1232" s="15">
        <f t="shared" si="35"/>
        <v>5.5560000000000009</v>
      </c>
      <c r="L1232" s="24">
        <v>655.0524651055332</v>
      </c>
      <c r="M1232" s="5">
        <f t="shared" si="34"/>
        <v>3.8800000000000026</v>
      </c>
      <c r="N1232" s="5"/>
      <c r="O1232" s="15">
        <f>35460*1.6978</f>
        <v>60203.987999999998</v>
      </c>
      <c r="P1232" s="5"/>
      <c r="Q1232" s="5"/>
      <c r="R1232" s="5">
        <v>1</v>
      </c>
      <c r="S1232" s="5"/>
      <c r="T1232" s="5"/>
      <c r="U1232" s="5"/>
      <c r="V1232" s="15">
        <f>20*0.7457</f>
        <v>14.914000000000001</v>
      </c>
      <c r="W1232" s="5"/>
      <c r="X1232" s="5"/>
      <c r="Y1232" s="5" t="s">
        <v>48</v>
      </c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16" t="s">
        <v>48</v>
      </c>
      <c r="AN1232" s="5"/>
      <c r="AO1232" s="8"/>
      <c r="AP1232" s="8"/>
      <c r="AQ1232" s="8"/>
      <c r="AR1232" s="8"/>
      <c r="AS1232" s="8"/>
      <c r="AT1232" s="8"/>
      <c r="AU1232" s="8"/>
      <c r="AV1232" s="8"/>
      <c r="AW1232" s="8"/>
      <c r="AX1232" s="8"/>
      <c r="AY1232" s="8"/>
      <c r="AZ1232" s="8"/>
      <c r="BA1232" s="8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8"/>
      <c r="BS1232" s="8"/>
      <c r="BT1232" s="8"/>
      <c r="BU1232" s="8"/>
      <c r="BV1232" s="8"/>
      <c r="BW1232" s="8"/>
      <c r="BX1232" s="8"/>
      <c r="BY1232" s="8"/>
      <c r="BZ1232" s="8"/>
      <c r="CA1232" s="8"/>
      <c r="CB1232" s="8"/>
      <c r="CC1232" s="8"/>
      <c r="CD1232" s="8"/>
      <c r="CE1232" s="8"/>
      <c r="CF1232" s="8"/>
      <c r="CG1232" s="8"/>
      <c r="CH1232" s="8"/>
      <c r="CI1232" s="8"/>
      <c r="CJ1232" s="8"/>
      <c r="CK1232" s="8"/>
      <c r="CL1232" s="8"/>
      <c r="CM1232" s="8"/>
      <c r="CN1232" s="8"/>
      <c r="CO1232" s="8"/>
      <c r="CP1232" s="8"/>
      <c r="CQ1232" s="8"/>
      <c r="CR1232" s="8"/>
      <c r="CS1232" s="8"/>
      <c r="CT1232" s="8"/>
      <c r="CU1232" s="8"/>
      <c r="CV1232" s="8"/>
      <c r="CW1232" s="8"/>
      <c r="CX1232" s="8"/>
      <c r="CY1232" s="8"/>
      <c r="CZ1232" s="8"/>
      <c r="DA1232" s="8"/>
      <c r="DB1232" s="8"/>
      <c r="DC1232" s="8"/>
      <c r="DD1232" s="8"/>
      <c r="DE1232" s="8"/>
      <c r="DF1232" s="8"/>
      <c r="DG1232" s="8"/>
      <c r="DH1232" s="8"/>
      <c r="DI1232" s="8"/>
      <c r="DJ1232" s="8"/>
      <c r="DK1232" s="8"/>
      <c r="DL1232" s="8"/>
      <c r="DM1232" s="8"/>
      <c r="DN1232" s="8"/>
      <c r="DO1232" s="8"/>
      <c r="DP1232" s="8"/>
      <c r="DQ1232" s="8"/>
      <c r="DR1232" s="8"/>
      <c r="DS1232" s="8"/>
      <c r="DT1232" s="8"/>
      <c r="DU1232" s="8"/>
      <c r="DV1232" s="8"/>
      <c r="DW1232" s="8"/>
      <c r="DX1232" s="8"/>
      <c r="DY1232" s="8"/>
      <c r="DZ1232" s="8"/>
      <c r="EA1232" s="8"/>
      <c r="EB1232" s="8"/>
      <c r="EC1232" s="8"/>
      <c r="ED1232" s="8"/>
      <c r="EE1232" s="8"/>
      <c r="EF1232" s="8"/>
      <c r="EG1232" s="8"/>
      <c r="EH1232" s="8"/>
      <c r="EI1232" s="8"/>
      <c r="EJ1232" s="8"/>
      <c r="EK1232" s="8"/>
      <c r="EL1232" s="8"/>
      <c r="EM1232" s="8"/>
      <c r="EN1232" s="8"/>
      <c r="EO1232" s="8"/>
      <c r="EP1232" s="8"/>
      <c r="EQ1232" s="8"/>
      <c r="ER1232" s="8"/>
      <c r="ES1232" s="8"/>
      <c r="ET1232" s="8"/>
      <c r="EU1232" s="8"/>
      <c r="EV1232" s="8"/>
      <c r="EW1232" s="8"/>
      <c r="EX1232" s="8"/>
      <c r="EY1232" s="8"/>
      <c r="EZ1232" s="8"/>
      <c r="FA1232" s="8"/>
      <c r="FB1232" s="8"/>
      <c r="FC1232" s="8"/>
      <c r="FD1232" s="8"/>
      <c r="FE1232" s="8"/>
      <c r="FF1232" s="8"/>
      <c r="FG1232" s="8"/>
      <c r="FH1232" s="8"/>
      <c r="FI1232" s="8"/>
      <c r="FJ1232" s="8"/>
      <c r="FK1232" s="8"/>
      <c r="FL1232" s="8"/>
      <c r="FM1232" s="8"/>
      <c r="FN1232" s="8"/>
      <c r="FO1232" s="8"/>
      <c r="FP1232" s="8"/>
      <c r="FQ1232" s="8"/>
      <c r="FR1232" s="8"/>
      <c r="FS1232" s="8"/>
      <c r="FT1232" s="8"/>
      <c r="FU1232" s="8"/>
      <c r="FV1232" s="8"/>
      <c r="FW1232" s="8"/>
      <c r="FX1232" s="8"/>
      <c r="FY1232" s="8"/>
      <c r="FZ1232" s="8"/>
      <c r="GA1232" s="8"/>
      <c r="GB1232" s="8"/>
      <c r="GC1232" s="8"/>
      <c r="GD1232" s="8"/>
      <c r="GE1232" s="8"/>
      <c r="GF1232" s="8"/>
      <c r="GG1232" s="8"/>
      <c r="GH1232" s="8"/>
      <c r="GI1232" s="8"/>
      <c r="GJ1232" s="8"/>
      <c r="GK1232" s="8"/>
      <c r="GL1232" s="8"/>
      <c r="GM1232" s="8"/>
      <c r="GN1232" s="8"/>
      <c r="GO1232" s="8"/>
      <c r="GP1232" s="8"/>
      <c r="GQ1232" s="8"/>
      <c r="GR1232" s="8"/>
      <c r="GS1232" s="8"/>
      <c r="GT1232" s="8"/>
      <c r="GU1232" s="8"/>
      <c r="GV1232" s="8"/>
      <c r="GW1232" s="8"/>
      <c r="GX1232" s="8"/>
      <c r="GY1232" s="8"/>
      <c r="GZ1232" s="8"/>
      <c r="HA1232" s="8"/>
      <c r="HB1232" s="8"/>
      <c r="HC1232" s="8"/>
      <c r="HD1232" s="8"/>
      <c r="HE1232" s="8"/>
      <c r="HF1232" s="8"/>
      <c r="HG1232" s="8"/>
      <c r="HH1232" s="8"/>
      <c r="HI1232" s="8"/>
      <c r="HJ1232" s="8"/>
      <c r="HK1232" s="8"/>
      <c r="HL1232" s="8"/>
      <c r="HM1232" s="8"/>
      <c r="HN1232" s="8"/>
      <c r="HO1232" s="8"/>
      <c r="HP1232" s="8"/>
      <c r="HQ1232" s="8"/>
      <c r="HR1232" s="8"/>
      <c r="HS1232" s="8"/>
      <c r="HT1232" s="8"/>
      <c r="HU1232" s="8"/>
      <c r="HV1232" s="8"/>
      <c r="HW1232" s="8"/>
      <c r="HX1232" s="8"/>
      <c r="HY1232" s="8"/>
      <c r="HZ1232" s="8"/>
      <c r="IA1232" s="8"/>
      <c r="IB1232" s="8"/>
      <c r="IC1232" s="8"/>
      <c r="ID1232" s="8"/>
      <c r="IE1232" s="8"/>
      <c r="IF1232" s="8"/>
    </row>
    <row r="1233" spans="1:240" ht="30" customHeight="1">
      <c r="A1233" s="5">
        <v>1231</v>
      </c>
      <c r="B1233" s="5"/>
      <c r="C1233" s="5"/>
      <c r="D1233" s="5" t="s">
        <v>68</v>
      </c>
      <c r="E1233" s="5" t="s">
        <v>48</v>
      </c>
      <c r="F1233" s="5" t="s">
        <v>48</v>
      </c>
      <c r="G1233" s="5" t="s">
        <v>48</v>
      </c>
      <c r="H1233" s="15">
        <f>7020*0.454</f>
        <v>3187.08</v>
      </c>
      <c r="I1233" s="5" t="s">
        <v>13</v>
      </c>
      <c r="J1233" s="15">
        <f>484/4.4</f>
        <v>109.99999999999999</v>
      </c>
      <c r="K1233" s="15">
        <f t="shared" si="35"/>
        <v>5.5560000000000009</v>
      </c>
      <c r="L1233" s="24">
        <v>706.1144612718889</v>
      </c>
      <c r="M1233" s="5">
        <f>29.44-25.56</f>
        <v>3.8800000000000026</v>
      </c>
      <c r="N1233" s="5"/>
      <c r="O1233" s="15">
        <f>38170*1.6978</f>
        <v>64805.025999999998</v>
      </c>
      <c r="P1233" s="5"/>
      <c r="Q1233" s="5"/>
      <c r="R1233" s="5">
        <v>1</v>
      </c>
      <c r="S1233" s="5"/>
      <c r="T1233" s="5"/>
      <c r="U1233" s="5"/>
      <c r="V1233" s="15">
        <f>25*0.7457</f>
        <v>18.642500000000002</v>
      </c>
      <c r="W1233" s="5"/>
      <c r="X1233" s="5"/>
      <c r="Y1233" s="5" t="s">
        <v>48</v>
      </c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16" t="s">
        <v>48</v>
      </c>
      <c r="AN1233" s="5"/>
      <c r="AO1233" s="8"/>
      <c r="AP1233" s="8"/>
      <c r="AQ1233" s="8"/>
      <c r="AR1233" s="8"/>
      <c r="AS1233" s="8"/>
      <c r="AT1233" s="8"/>
      <c r="AU1233" s="8"/>
      <c r="AV1233" s="8"/>
      <c r="AW1233" s="8"/>
      <c r="AX1233" s="8"/>
      <c r="AY1233" s="8"/>
      <c r="AZ1233" s="8"/>
      <c r="BA1233" s="8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8"/>
      <c r="BS1233" s="8"/>
      <c r="BT1233" s="8"/>
      <c r="BU1233" s="8"/>
      <c r="BV1233" s="8"/>
      <c r="BW1233" s="8"/>
      <c r="BX1233" s="8"/>
      <c r="BY1233" s="8"/>
      <c r="BZ1233" s="8"/>
      <c r="CA1233" s="8"/>
      <c r="CB1233" s="8"/>
      <c r="CC1233" s="8"/>
      <c r="CD1233" s="8"/>
      <c r="CE1233" s="8"/>
      <c r="CF1233" s="8"/>
      <c r="CG1233" s="8"/>
      <c r="CH1233" s="8"/>
      <c r="CI1233" s="8"/>
      <c r="CJ1233" s="8"/>
      <c r="CK1233" s="8"/>
      <c r="CL1233" s="8"/>
      <c r="CM1233" s="8"/>
      <c r="CN1233" s="8"/>
      <c r="CO1233" s="8"/>
      <c r="CP1233" s="8"/>
      <c r="CQ1233" s="8"/>
      <c r="CR1233" s="8"/>
      <c r="CS1233" s="8"/>
      <c r="CT1233" s="8"/>
      <c r="CU1233" s="8"/>
      <c r="CV1233" s="8"/>
      <c r="CW1233" s="8"/>
      <c r="CX1233" s="8"/>
      <c r="CY1233" s="8"/>
      <c r="CZ1233" s="8"/>
      <c r="DA1233" s="8"/>
      <c r="DB1233" s="8"/>
      <c r="DC1233" s="8"/>
      <c r="DD1233" s="8"/>
      <c r="DE1233" s="8"/>
      <c r="DF1233" s="8"/>
      <c r="DG1233" s="8"/>
      <c r="DH1233" s="8"/>
      <c r="DI1233" s="8"/>
      <c r="DJ1233" s="8"/>
      <c r="DK1233" s="8"/>
      <c r="DL1233" s="8"/>
      <c r="DM1233" s="8"/>
      <c r="DN1233" s="8"/>
      <c r="DO1233" s="8"/>
      <c r="DP1233" s="8"/>
      <c r="DQ1233" s="8"/>
      <c r="DR1233" s="8"/>
      <c r="DS1233" s="8"/>
      <c r="DT1233" s="8"/>
      <c r="DU1233" s="8"/>
      <c r="DV1233" s="8"/>
      <c r="DW1233" s="8"/>
      <c r="DX1233" s="8"/>
      <c r="DY1233" s="8"/>
      <c r="DZ1233" s="8"/>
      <c r="EA1233" s="8"/>
      <c r="EB1233" s="8"/>
      <c r="EC1233" s="8"/>
      <c r="ED1233" s="8"/>
      <c r="EE1233" s="8"/>
      <c r="EF1233" s="8"/>
      <c r="EG1233" s="8"/>
      <c r="EH1233" s="8"/>
      <c r="EI1233" s="8"/>
      <c r="EJ1233" s="8"/>
      <c r="EK1233" s="8"/>
      <c r="EL1233" s="8"/>
      <c r="EM1233" s="8"/>
      <c r="EN1233" s="8"/>
      <c r="EO1233" s="8"/>
      <c r="EP1233" s="8"/>
      <c r="EQ1233" s="8"/>
      <c r="ER1233" s="8"/>
      <c r="ES1233" s="8"/>
      <c r="ET1233" s="8"/>
      <c r="EU1233" s="8"/>
      <c r="EV1233" s="8"/>
      <c r="EW1233" s="8"/>
      <c r="EX1233" s="8"/>
      <c r="EY1233" s="8"/>
      <c r="EZ1233" s="8"/>
      <c r="FA1233" s="8"/>
      <c r="FB1233" s="8"/>
      <c r="FC1233" s="8"/>
      <c r="FD1233" s="8"/>
      <c r="FE1233" s="8"/>
      <c r="FF1233" s="8"/>
      <c r="FG1233" s="8"/>
      <c r="FH1233" s="8"/>
      <c r="FI1233" s="8"/>
      <c r="FJ1233" s="8"/>
      <c r="FK1233" s="8"/>
      <c r="FL1233" s="8"/>
      <c r="FM1233" s="8"/>
      <c r="FN1233" s="8"/>
      <c r="FO1233" s="8"/>
      <c r="FP1233" s="8"/>
      <c r="FQ1233" s="8"/>
      <c r="FR1233" s="8"/>
      <c r="FS1233" s="8"/>
      <c r="FT1233" s="8"/>
      <c r="FU1233" s="8"/>
      <c r="FV1233" s="8"/>
      <c r="FW1233" s="8"/>
      <c r="FX1233" s="8"/>
      <c r="FY1233" s="8"/>
      <c r="FZ1233" s="8"/>
      <c r="GA1233" s="8"/>
      <c r="GB1233" s="8"/>
      <c r="GC1233" s="8"/>
      <c r="GD1233" s="8"/>
      <c r="GE1233" s="8"/>
      <c r="GF1233" s="8"/>
      <c r="GG1233" s="8"/>
      <c r="GH1233" s="8"/>
      <c r="GI1233" s="8"/>
      <c r="GJ1233" s="8"/>
      <c r="GK1233" s="8"/>
      <c r="GL1233" s="8"/>
      <c r="GM1233" s="8"/>
      <c r="GN1233" s="8"/>
      <c r="GO1233" s="8"/>
      <c r="GP1233" s="8"/>
      <c r="GQ1233" s="8"/>
      <c r="GR1233" s="8"/>
      <c r="GS1233" s="8"/>
      <c r="GT1233" s="8"/>
      <c r="GU1233" s="8"/>
      <c r="GV1233" s="8"/>
      <c r="GW1233" s="8"/>
      <c r="GX1233" s="8"/>
      <c r="GY1233" s="8"/>
      <c r="GZ1233" s="8"/>
      <c r="HA1233" s="8"/>
      <c r="HB1233" s="8"/>
      <c r="HC1233" s="8"/>
      <c r="HD1233" s="8"/>
      <c r="HE1233" s="8"/>
      <c r="HF1233" s="8"/>
      <c r="HG1233" s="8"/>
      <c r="HH1233" s="8"/>
      <c r="HI1233" s="8"/>
      <c r="HJ1233" s="8"/>
      <c r="HK1233" s="8"/>
      <c r="HL1233" s="8"/>
      <c r="HM1233" s="8"/>
      <c r="HN1233" s="8"/>
      <c r="HO1233" s="8"/>
      <c r="HP1233" s="8"/>
      <c r="HQ1233" s="8"/>
      <c r="HR1233" s="8"/>
      <c r="HS1233" s="8"/>
      <c r="HT1233" s="8"/>
      <c r="HU1233" s="8"/>
      <c r="HV1233" s="8"/>
      <c r="HW1233" s="8"/>
      <c r="HX1233" s="8"/>
      <c r="HY1233" s="8"/>
      <c r="HZ1233" s="8"/>
      <c r="IA1233" s="8"/>
      <c r="IB1233" s="8"/>
      <c r="IC1233" s="8"/>
      <c r="ID1233" s="8"/>
      <c r="IE1233" s="8"/>
      <c r="IF1233" s="8"/>
    </row>
    <row r="1234" spans="1:240" ht="30" customHeight="1">
      <c r="A1234" s="5">
        <v>1232</v>
      </c>
      <c r="B1234" s="5"/>
      <c r="C1234" s="5"/>
      <c r="D1234" s="5" t="s">
        <v>68</v>
      </c>
      <c r="E1234" s="5" t="s">
        <v>48</v>
      </c>
      <c r="F1234" s="5" t="s">
        <v>48</v>
      </c>
      <c r="G1234" s="5" t="s">
        <v>48</v>
      </c>
      <c r="H1234" s="15">
        <f>7040*0.454</f>
        <v>3196.1600000000003</v>
      </c>
      <c r="I1234" s="5" t="s">
        <v>13</v>
      </c>
      <c r="J1234" s="15">
        <f>514/4.4</f>
        <v>116.81818181818181</v>
      </c>
      <c r="K1234" s="15">
        <f t="shared" si="35"/>
        <v>5.5560000000000009</v>
      </c>
      <c r="L1234" s="24">
        <v>749.88188655733654</v>
      </c>
      <c r="M1234" s="5">
        <f>29.44-25.56</f>
        <v>3.8800000000000026</v>
      </c>
      <c r="N1234" s="5"/>
      <c r="O1234" s="15">
        <f>40550*1.6978</f>
        <v>68845.789999999994</v>
      </c>
      <c r="P1234" s="5"/>
      <c r="Q1234" s="5"/>
      <c r="R1234" s="5">
        <v>1</v>
      </c>
      <c r="S1234" s="5"/>
      <c r="T1234" s="5"/>
      <c r="U1234" s="5"/>
      <c r="V1234" s="15">
        <f>30*0.7457</f>
        <v>22.371000000000002</v>
      </c>
      <c r="W1234" s="5"/>
      <c r="X1234" s="5"/>
      <c r="Y1234" s="5" t="s">
        <v>48</v>
      </c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16" t="s">
        <v>48</v>
      </c>
      <c r="AN1234" s="5"/>
      <c r="AO1234" s="8"/>
      <c r="AP1234" s="8"/>
      <c r="AQ1234" s="8"/>
      <c r="AR1234" s="8"/>
      <c r="AS1234" s="8"/>
      <c r="AT1234" s="8"/>
      <c r="AU1234" s="8"/>
      <c r="AV1234" s="8"/>
      <c r="AW1234" s="8"/>
      <c r="AX1234" s="8"/>
      <c r="AY1234" s="8"/>
      <c r="AZ1234" s="8"/>
      <c r="BA1234" s="8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8"/>
      <c r="BS1234" s="8"/>
      <c r="BT1234" s="8"/>
      <c r="BU1234" s="8"/>
      <c r="BV1234" s="8"/>
      <c r="BW1234" s="8"/>
      <c r="BX1234" s="8"/>
      <c r="BY1234" s="8"/>
      <c r="BZ1234" s="8"/>
      <c r="CA1234" s="8"/>
      <c r="CB1234" s="8"/>
      <c r="CC1234" s="8"/>
      <c r="CD1234" s="8"/>
      <c r="CE1234" s="8"/>
      <c r="CF1234" s="8"/>
      <c r="CG1234" s="8"/>
      <c r="CH1234" s="8"/>
      <c r="CI1234" s="8"/>
      <c r="CJ1234" s="8"/>
      <c r="CK1234" s="8"/>
      <c r="CL1234" s="8"/>
      <c r="CM1234" s="8"/>
      <c r="CN1234" s="8"/>
      <c r="CO1234" s="8"/>
      <c r="CP1234" s="8"/>
      <c r="CQ1234" s="8"/>
      <c r="CR1234" s="8"/>
      <c r="CS1234" s="8"/>
      <c r="CT1234" s="8"/>
      <c r="CU1234" s="8"/>
      <c r="CV1234" s="8"/>
      <c r="CW1234" s="8"/>
      <c r="CX1234" s="8"/>
      <c r="CY1234" s="8"/>
      <c r="CZ1234" s="8"/>
      <c r="DA1234" s="8"/>
      <c r="DB1234" s="8"/>
      <c r="DC1234" s="8"/>
      <c r="DD1234" s="8"/>
      <c r="DE1234" s="8"/>
      <c r="DF1234" s="8"/>
      <c r="DG1234" s="8"/>
      <c r="DH1234" s="8"/>
      <c r="DI1234" s="8"/>
      <c r="DJ1234" s="8"/>
      <c r="DK1234" s="8"/>
      <c r="DL1234" s="8"/>
      <c r="DM1234" s="8"/>
      <c r="DN1234" s="8"/>
      <c r="DO1234" s="8"/>
      <c r="DP1234" s="8"/>
      <c r="DQ1234" s="8"/>
      <c r="DR1234" s="8"/>
      <c r="DS1234" s="8"/>
      <c r="DT1234" s="8"/>
      <c r="DU1234" s="8"/>
      <c r="DV1234" s="8"/>
      <c r="DW1234" s="8"/>
      <c r="DX1234" s="8"/>
      <c r="DY1234" s="8"/>
      <c r="DZ1234" s="8"/>
      <c r="EA1234" s="8"/>
      <c r="EB1234" s="8"/>
      <c r="EC1234" s="8"/>
      <c r="ED1234" s="8"/>
      <c r="EE1234" s="8"/>
      <c r="EF1234" s="8"/>
      <c r="EG1234" s="8"/>
      <c r="EH1234" s="8"/>
      <c r="EI1234" s="8"/>
      <c r="EJ1234" s="8"/>
      <c r="EK1234" s="8"/>
      <c r="EL1234" s="8"/>
      <c r="EM1234" s="8"/>
      <c r="EN1234" s="8"/>
      <c r="EO1234" s="8"/>
      <c r="EP1234" s="8"/>
      <c r="EQ1234" s="8"/>
      <c r="ER1234" s="8"/>
      <c r="ES1234" s="8"/>
      <c r="ET1234" s="8"/>
      <c r="EU1234" s="8"/>
      <c r="EV1234" s="8"/>
      <c r="EW1234" s="8"/>
      <c r="EX1234" s="8"/>
      <c r="EY1234" s="8"/>
      <c r="EZ1234" s="8"/>
      <c r="FA1234" s="8"/>
      <c r="FB1234" s="8"/>
      <c r="FC1234" s="8"/>
      <c r="FD1234" s="8"/>
      <c r="FE1234" s="8"/>
      <c r="FF1234" s="8"/>
      <c r="FG1234" s="8"/>
      <c r="FH1234" s="8"/>
      <c r="FI1234" s="8"/>
      <c r="FJ1234" s="8"/>
      <c r="FK1234" s="8"/>
      <c r="FL1234" s="8"/>
      <c r="FM1234" s="8"/>
      <c r="FN1234" s="8"/>
      <c r="FO1234" s="8"/>
      <c r="FP1234" s="8"/>
      <c r="FQ1234" s="8"/>
      <c r="FR1234" s="8"/>
      <c r="FS1234" s="8"/>
      <c r="FT1234" s="8"/>
      <c r="FU1234" s="8"/>
      <c r="FV1234" s="8"/>
      <c r="FW1234" s="8"/>
      <c r="FX1234" s="8"/>
      <c r="FY1234" s="8"/>
      <c r="FZ1234" s="8"/>
      <c r="GA1234" s="8"/>
      <c r="GB1234" s="8"/>
      <c r="GC1234" s="8"/>
      <c r="GD1234" s="8"/>
      <c r="GE1234" s="8"/>
      <c r="GF1234" s="8"/>
      <c r="GG1234" s="8"/>
      <c r="GH1234" s="8"/>
      <c r="GI1234" s="8"/>
      <c r="GJ1234" s="8"/>
      <c r="GK1234" s="8"/>
      <c r="GL1234" s="8"/>
      <c r="GM1234" s="8"/>
      <c r="GN1234" s="8"/>
      <c r="GO1234" s="8"/>
      <c r="GP1234" s="8"/>
      <c r="GQ1234" s="8"/>
      <c r="GR1234" s="8"/>
      <c r="GS1234" s="8"/>
      <c r="GT1234" s="8"/>
      <c r="GU1234" s="8"/>
      <c r="GV1234" s="8"/>
      <c r="GW1234" s="8"/>
      <c r="GX1234" s="8"/>
      <c r="GY1234" s="8"/>
      <c r="GZ1234" s="8"/>
      <c r="HA1234" s="8"/>
      <c r="HB1234" s="8"/>
      <c r="HC1234" s="8"/>
      <c r="HD1234" s="8"/>
      <c r="HE1234" s="8"/>
      <c r="HF1234" s="8"/>
      <c r="HG1234" s="8"/>
      <c r="HH1234" s="8"/>
      <c r="HI1234" s="8"/>
      <c r="HJ1234" s="8"/>
      <c r="HK1234" s="8"/>
      <c r="HL1234" s="8"/>
      <c r="HM1234" s="8"/>
      <c r="HN1234" s="8"/>
      <c r="HO1234" s="8"/>
      <c r="HP1234" s="8"/>
      <c r="HQ1234" s="8"/>
      <c r="HR1234" s="8"/>
      <c r="HS1234" s="8"/>
      <c r="HT1234" s="8"/>
      <c r="HU1234" s="8"/>
      <c r="HV1234" s="8"/>
      <c r="HW1234" s="8"/>
      <c r="HX1234" s="8"/>
      <c r="HY1234" s="8"/>
      <c r="HZ1234" s="8"/>
      <c r="IA1234" s="8"/>
      <c r="IB1234" s="8"/>
      <c r="IC1234" s="8"/>
      <c r="ID1234" s="8"/>
      <c r="IE1234" s="8"/>
      <c r="IF1234" s="8"/>
    </row>
    <row r="1235" spans="1:240" ht="30" customHeight="1">
      <c r="A1235" s="5">
        <v>1233</v>
      </c>
      <c r="B1235" s="5"/>
      <c r="C1235" s="5"/>
      <c r="D1235" s="5" t="s">
        <v>68</v>
      </c>
      <c r="E1235" s="5" t="s">
        <v>48</v>
      </c>
      <c r="F1235" s="5" t="s">
        <v>48</v>
      </c>
      <c r="G1235" s="5" t="s">
        <v>48</v>
      </c>
      <c r="H1235" s="15">
        <f>7250*0.454</f>
        <v>3291.5</v>
      </c>
      <c r="I1235" s="5" t="s">
        <v>13</v>
      </c>
      <c r="J1235" s="15">
        <f>529/4.4</f>
        <v>120.22727272727272</v>
      </c>
      <c r="K1235" s="15">
        <f t="shared" si="35"/>
        <v>5.5560000000000009</v>
      </c>
      <c r="L1235" s="24">
        <v>771.76559920006036</v>
      </c>
      <c r="M1235" s="5">
        <f>29.44-25.56</f>
        <v>3.8800000000000026</v>
      </c>
      <c r="N1235" s="5"/>
      <c r="O1235" s="15">
        <f>37890*1.6978</f>
        <v>64329.642</v>
      </c>
      <c r="P1235" s="5"/>
      <c r="Q1235" s="5"/>
      <c r="R1235" s="5">
        <v>1</v>
      </c>
      <c r="S1235" s="5"/>
      <c r="T1235" s="5"/>
      <c r="U1235" s="5"/>
      <c r="V1235" s="15">
        <f>25*0.7457</f>
        <v>18.642500000000002</v>
      </c>
      <c r="W1235" s="5"/>
      <c r="X1235" s="5"/>
      <c r="Y1235" s="5" t="s">
        <v>48</v>
      </c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16" t="s">
        <v>48</v>
      </c>
      <c r="AN1235" s="5"/>
      <c r="AO1235" s="8"/>
      <c r="AP1235" s="8"/>
      <c r="AQ1235" s="8"/>
      <c r="AR1235" s="8"/>
      <c r="AS1235" s="8"/>
      <c r="AT1235" s="8"/>
      <c r="AU1235" s="8"/>
      <c r="AV1235" s="8"/>
      <c r="AW1235" s="8"/>
      <c r="AX1235" s="8"/>
      <c r="AY1235" s="8"/>
      <c r="AZ1235" s="8"/>
      <c r="BA1235" s="8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8"/>
      <c r="BS1235" s="8"/>
      <c r="BT1235" s="8"/>
      <c r="BU1235" s="8"/>
      <c r="BV1235" s="8"/>
      <c r="BW1235" s="8"/>
      <c r="BX1235" s="8"/>
      <c r="BY1235" s="8"/>
      <c r="BZ1235" s="8"/>
      <c r="CA1235" s="8"/>
      <c r="CB1235" s="8"/>
      <c r="CC1235" s="8"/>
      <c r="CD1235" s="8"/>
      <c r="CE1235" s="8"/>
      <c r="CF1235" s="8"/>
      <c r="CG1235" s="8"/>
      <c r="CH1235" s="8"/>
      <c r="CI1235" s="8"/>
      <c r="CJ1235" s="8"/>
      <c r="CK1235" s="8"/>
      <c r="CL1235" s="8"/>
      <c r="CM1235" s="8"/>
      <c r="CN1235" s="8"/>
      <c r="CO1235" s="8"/>
      <c r="CP1235" s="8"/>
      <c r="CQ1235" s="8"/>
      <c r="CR1235" s="8"/>
      <c r="CS1235" s="8"/>
      <c r="CT1235" s="8"/>
      <c r="CU1235" s="8"/>
      <c r="CV1235" s="8"/>
      <c r="CW1235" s="8"/>
      <c r="CX1235" s="8"/>
      <c r="CY1235" s="8"/>
      <c r="CZ1235" s="8"/>
      <c r="DA1235" s="8"/>
      <c r="DB1235" s="8"/>
      <c r="DC1235" s="8"/>
      <c r="DD1235" s="8"/>
      <c r="DE1235" s="8"/>
      <c r="DF1235" s="8"/>
      <c r="DG1235" s="8"/>
      <c r="DH1235" s="8"/>
      <c r="DI1235" s="8"/>
      <c r="DJ1235" s="8"/>
      <c r="DK1235" s="8"/>
      <c r="DL1235" s="8"/>
      <c r="DM1235" s="8"/>
      <c r="DN1235" s="8"/>
      <c r="DO1235" s="8"/>
      <c r="DP1235" s="8"/>
      <c r="DQ1235" s="8"/>
      <c r="DR1235" s="8"/>
      <c r="DS1235" s="8"/>
      <c r="DT1235" s="8"/>
      <c r="DU1235" s="8"/>
      <c r="DV1235" s="8"/>
      <c r="DW1235" s="8"/>
      <c r="DX1235" s="8"/>
      <c r="DY1235" s="8"/>
      <c r="DZ1235" s="8"/>
      <c r="EA1235" s="8"/>
      <c r="EB1235" s="8"/>
      <c r="EC1235" s="8"/>
      <c r="ED1235" s="8"/>
      <c r="EE1235" s="8"/>
      <c r="EF1235" s="8"/>
      <c r="EG1235" s="8"/>
      <c r="EH1235" s="8"/>
      <c r="EI1235" s="8"/>
      <c r="EJ1235" s="8"/>
      <c r="EK1235" s="8"/>
      <c r="EL1235" s="8"/>
      <c r="EM1235" s="8"/>
      <c r="EN1235" s="8"/>
      <c r="EO1235" s="8"/>
      <c r="EP1235" s="8"/>
      <c r="EQ1235" s="8"/>
      <c r="ER1235" s="8"/>
      <c r="ES1235" s="8"/>
      <c r="ET1235" s="8"/>
      <c r="EU1235" s="8"/>
      <c r="EV1235" s="8"/>
      <c r="EW1235" s="8"/>
      <c r="EX1235" s="8"/>
      <c r="EY1235" s="8"/>
      <c r="EZ1235" s="8"/>
      <c r="FA1235" s="8"/>
      <c r="FB1235" s="8"/>
      <c r="FC1235" s="8"/>
      <c r="FD1235" s="8"/>
      <c r="FE1235" s="8"/>
      <c r="FF1235" s="8"/>
      <c r="FG1235" s="8"/>
      <c r="FH1235" s="8"/>
      <c r="FI1235" s="8"/>
      <c r="FJ1235" s="8"/>
      <c r="FK1235" s="8"/>
      <c r="FL1235" s="8"/>
      <c r="FM1235" s="8"/>
      <c r="FN1235" s="8"/>
      <c r="FO1235" s="8"/>
      <c r="FP1235" s="8"/>
      <c r="FQ1235" s="8"/>
      <c r="FR1235" s="8"/>
      <c r="FS1235" s="8"/>
      <c r="FT1235" s="8"/>
      <c r="FU1235" s="8"/>
      <c r="FV1235" s="8"/>
      <c r="FW1235" s="8"/>
      <c r="FX1235" s="8"/>
      <c r="FY1235" s="8"/>
      <c r="FZ1235" s="8"/>
      <c r="GA1235" s="8"/>
      <c r="GB1235" s="8"/>
      <c r="GC1235" s="8"/>
      <c r="GD1235" s="8"/>
      <c r="GE1235" s="8"/>
      <c r="GF1235" s="8"/>
      <c r="GG1235" s="8"/>
      <c r="GH1235" s="8"/>
      <c r="GI1235" s="8"/>
      <c r="GJ1235" s="8"/>
      <c r="GK1235" s="8"/>
      <c r="GL1235" s="8"/>
      <c r="GM1235" s="8"/>
      <c r="GN1235" s="8"/>
      <c r="GO1235" s="8"/>
      <c r="GP1235" s="8"/>
      <c r="GQ1235" s="8"/>
      <c r="GR1235" s="8"/>
      <c r="GS1235" s="8"/>
      <c r="GT1235" s="8"/>
      <c r="GU1235" s="8"/>
      <c r="GV1235" s="8"/>
      <c r="GW1235" s="8"/>
      <c r="GX1235" s="8"/>
      <c r="GY1235" s="8"/>
      <c r="GZ1235" s="8"/>
      <c r="HA1235" s="8"/>
      <c r="HB1235" s="8"/>
      <c r="HC1235" s="8"/>
      <c r="HD1235" s="8"/>
      <c r="HE1235" s="8"/>
      <c r="HF1235" s="8"/>
      <c r="HG1235" s="8"/>
      <c r="HH1235" s="8"/>
      <c r="HI1235" s="8"/>
      <c r="HJ1235" s="8"/>
      <c r="HK1235" s="8"/>
      <c r="HL1235" s="8"/>
      <c r="HM1235" s="8"/>
      <c r="HN1235" s="8"/>
      <c r="HO1235" s="8"/>
      <c r="HP1235" s="8"/>
      <c r="HQ1235" s="8"/>
      <c r="HR1235" s="8"/>
      <c r="HS1235" s="8"/>
      <c r="HT1235" s="8"/>
      <c r="HU1235" s="8"/>
      <c r="HV1235" s="8"/>
      <c r="HW1235" s="8"/>
      <c r="HX1235" s="8"/>
      <c r="HY1235" s="8"/>
      <c r="HZ1235" s="8"/>
      <c r="IA1235" s="8"/>
      <c r="IB1235" s="8"/>
      <c r="IC1235" s="8"/>
      <c r="ID1235" s="8"/>
      <c r="IE1235" s="8"/>
      <c r="IF1235" s="8"/>
    </row>
    <row r="1236" spans="1:240" ht="30" customHeight="1">
      <c r="A1236" s="5">
        <v>1234</v>
      </c>
      <c r="B1236" s="5"/>
      <c r="C1236" s="5"/>
      <c r="D1236" s="5" t="s">
        <v>68</v>
      </c>
      <c r="E1236" s="5" t="s">
        <v>48</v>
      </c>
      <c r="F1236" s="5" t="s">
        <v>48</v>
      </c>
      <c r="G1236" s="5" t="s">
        <v>48</v>
      </c>
      <c r="H1236" s="15">
        <f>7270*0.454</f>
        <v>3300.58</v>
      </c>
      <c r="I1236" s="5" t="s">
        <v>13</v>
      </c>
      <c r="J1236" s="15">
        <f>554/4.4</f>
        <v>125.90909090909089</v>
      </c>
      <c r="K1236" s="15">
        <f t="shared" si="35"/>
        <v>5.5560000000000009</v>
      </c>
      <c r="L1236" s="24">
        <v>808.23845360460007</v>
      </c>
      <c r="M1236" s="5">
        <f>29.44-25.56</f>
        <v>3.8800000000000026</v>
      </c>
      <c r="N1236" s="5"/>
      <c r="O1236" s="15">
        <f>40280*1.6978</f>
        <v>68387.384000000005</v>
      </c>
      <c r="P1236" s="5"/>
      <c r="Q1236" s="5"/>
      <c r="R1236" s="5">
        <v>1</v>
      </c>
      <c r="S1236" s="5"/>
      <c r="T1236" s="5"/>
      <c r="U1236" s="5"/>
      <c r="V1236" s="15">
        <f>30*0.7457</f>
        <v>22.371000000000002</v>
      </c>
      <c r="W1236" s="5"/>
      <c r="X1236" s="5"/>
      <c r="Y1236" s="5" t="s">
        <v>48</v>
      </c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16" t="s">
        <v>48</v>
      </c>
      <c r="AN1236" s="5"/>
      <c r="AO1236" s="8"/>
      <c r="AP1236" s="8"/>
      <c r="AQ1236" s="8"/>
      <c r="AR1236" s="8"/>
      <c r="AS1236" s="8"/>
      <c r="AT1236" s="8"/>
      <c r="AU1236" s="8"/>
      <c r="AV1236" s="8"/>
      <c r="AW1236" s="8"/>
      <c r="AX1236" s="8"/>
      <c r="AY1236" s="8"/>
      <c r="AZ1236" s="8"/>
      <c r="BA1236" s="8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8"/>
      <c r="BS1236" s="8"/>
      <c r="BT1236" s="8"/>
      <c r="BU1236" s="8"/>
      <c r="BV1236" s="8"/>
      <c r="BW1236" s="8"/>
      <c r="BX1236" s="8"/>
      <c r="BY1236" s="8"/>
      <c r="BZ1236" s="8"/>
      <c r="CA1236" s="8"/>
      <c r="CB1236" s="8"/>
      <c r="CC1236" s="8"/>
      <c r="CD1236" s="8"/>
      <c r="CE1236" s="8"/>
      <c r="CF1236" s="8"/>
      <c r="CG1236" s="8"/>
      <c r="CH1236" s="8"/>
      <c r="CI1236" s="8"/>
      <c r="CJ1236" s="8"/>
      <c r="CK1236" s="8"/>
      <c r="CL1236" s="8"/>
      <c r="CM1236" s="8"/>
      <c r="CN1236" s="8"/>
      <c r="CO1236" s="8"/>
      <c r="CP1236" s="8"/>
      <c r="CQ1236" s="8"/>
      <c r="CR1236" s="8"/>
      <c r="CS1236" s="8"/>
      <c r="CT1236" s="8"/>
      <c r="CU1236" s="8"/>
      <c r="CV1236" s="8"/>
      <c r="CW1236" s="8"/>
      <c r="CX1236" s="8"/>
      <c r="CY1236" s="8"/>
      <c r="CZ1236" s="8"/>
      <c r="DA1236" s="8"/>
      <c r="DB1236" s="8"/>
      <c r="DC1236" s="8"/>
      <c r="DD1236" s="8"/>
      <c r="DE1236" s="8"/>
      <c r="DF1236" s="8"/>
      <c r="DG1236" s="8"/>
      <c r="DH1236" s="8"/>
      <c r="DI1236" s="8"/>
      <c r="DJ1236" s="8"/>
      <c r="DK1236" s="8"/>
      <c r="DL1236" s="8"/>
      <c r="DM1236" s="8"/>
      <c r="DN1236" s="8"/>
      <c r="DO1236" s="8"/>
      <c r="DP1236" s="8"/>
      <c r="DQ1236" s="8"/>
      <c r="DR1236" s="8"/>
      <c r="DS1236" s="8"/>
      <c r="DT1236" s="8"/>
      <c r="DU1236" s="8"/>
      <c r="DV1236" s="8"/>
      <c r="DW1236" s="8"/>
      <c r="DX1236" s="8"/>
      <c r="DY1236" s="8"/>
      <c r="DZ1236" s="8"/>
      <c r="EA1236" s="8"/>
      <c r="EB1236" s="8"/>
      <c r="EC1236" s="8"/>
      <c r="ED1236" s="8"/>
      <c r="EE1236" s="8"/>
      <c r="EF1236" s="8"/>
      <c r="EG1236" s="8"/>
      <c r="EH1236" s="8"/>
      <c r="EI1236" s="8"/>
      <c r="EJ1236" s="8"/>
      <c r="EK1236" s="8"/>
      <c r="EL1236" s="8"/>
      <c r="EM1236" s="8"/>
      <c r="EN1236" s="8"/>
      <c r="EO1236" s="8"/>
      <c r="EP1236" s="8"/>
      <c r="EQ1236" s="8"/>
      <c r="ER1236" s="8"/>
      <c r="ES1236" s="8"/>
      <c r="ET1236" s="8"/>
      <c r="EU1236" s="8"/>
      <c r="EV1236" s="8"/>
      <c r="EW1236" s="8"/>
      <c r="EX1236" s="8"/>
      <c r="EY1236" s="8"/>
      <c r="EZ1236" s="8"/>
      <c r="FA1236" s="8"/>
      <c r="FB1236" s="8"/>
      <c r="FC1236" s="8"/>
      <c r="FD1236" s="8"/>
      <c r="FE1236" s="8"/>
      <c r="FF1236" s="8"/>
      <c r="FG1236" s="8"/>
      <c r="FH1236" s="8"/>
      <c r="FI1236" s="8"/>
      <c r="FJ1236" s="8"/>
      <c r="FK1236" s="8"/>
      <c r="FL1236" s="8"/>
      <c r="FM1236" s="8"/>
      <c r="FN1236" s="8"/>
      <c r="FO1236" s="8"/>
      <c r="FP1236" s="8"/>
      <c r="FQ1236" s="8"/>
      <c r="FR1236" s="8"/>
      <c r="FS1236" s="8"/>
      <c r="FT1236" s="8"/>
      <c r="FU1236" s="8"/>
      <c r="FV1236" s="8"/>
      <c r="FW1236" s="8"/>
      <c r="FX1236" s="8"/>
      <c r="FY1236" s="8"/>
      <c r="FZ1236" s="8"/>
      <c r="GA1236" s="8"/>
      <c r="GB1236" s="8"/>
      <c r="GC1236" s="8"/>
      <c r="GD1236" s="8"/>
      <c r="GE1236" s="8"/>
      <c r="GF1236" s="8"/>
      <c r="GG1236" s="8"/>
      <c r="GH1236" s="8"/>
      <c r="GI1236" s="8"/>
      <c r="GJ1236" s="8"/>
      <c r="GK1236" s="8"/>
      <c r="GL1236" s="8"/>
      <c r="GM1236" s="8"/>
      <c r="GN1236" s="8"/>
      <c r="GO1236" s="8"/>
      <c r="GP1236" s="8"/>
      <c r="GQ1236" s="8"/>
      <c r="GR1236" s="8"/>
      <c r="GS1236" s="8"/>
      <c r="GT1236" s="8"/>
      <c r="GU1236" s="8"/>
      <c r="GV1236" s="8"/>
      <c r="GW1236" s="8"/>
      <c r="GX1236" s="8"/>
      <c r="GY1236" s="8"/>
      <c r="GZ1236" s="8"/>
      <c r="HA1236" s="8"/>
      <c r="HB1236" s="8"/>
      <c r="HC1236" s="8"/>
      <c r="HD1236" s="8"/>
      <c r="HE1236" s="8"/>
      <c r="HF1236" s="8"/>
      <c r="HG1236" s="8"/>
      <c r="HH1236" s="8"/>
      <c r="HI1236" s="8"/>
      <c r="HJ1236" s="8"/>
      <c r="HK1236" s="8"/>
      <c r="HL1236" s="8"/>
      <c r="HM1236" s="8"/>
      <c r="HN1236" s="8"/>
      <c r="HO1236" s="8"/>
      <c r="HP1236" s="8"/>
      <c r="HQ1236" s="8"/>
      <c r="HR1236" s="8"/>
      <c r="HS1236" s="8"/>
      <c r="HT1236" s="8"/>
      <c r="HU1236" s="8"/>
      <c r="HV1236" s="8"/>
      <c r="HW1236" s="8"/>
      <c r="HX1236" s="8"/>
      <c r="HY1236" s="8"/>
      <c r="HZ1236" s="8"/>
      <c r="IA1236" s="8"/>
      <c r="IB1236" s="8"/>
      <c r="IC1236" s="8"/>
      <c r="ID1236" s="8"/>
      <c r="IE1236" s="8"/>
      <c r="IF1236" s="8"/>
    </row>
    <row r="1237" spans="1:240" ht="30" customHeight="1">
      <c r="A1237" s="5">
        <v>1235</v>
      </c>
      <c r="B1237" s="5"/>
      <c r="C1237" s="5"/>
      <c r="D1237" s="5" t="s">
        <v>68</v>
      </c>
      <c r="E1237" s="5" t="s">
        <v>48</v>
      </c>
      <c r="F1237" s="5" t="s">
        <v>48</v>
      </c>
      <c r="G1237" s="5" t="s">
        <v>48</v>
      </c>
      <c r="H1237" s="15">
        <f>7520*0.454</f>
        <v>3414.08</v>
      </c>
      <c r="I1237" s="5" t="s">
        <v>13</v>
      </c>
      <c r="J1237" s="15">
        <f>593/4.4</f>
        <v>134.77272727272725</v>
      </c>
      <c r="K1237" s="15">
        <f t="shared" si="35"/>
        <v>5.5560000000000009</v>
      </c>
      <c r="L1237" s="24">
        <v>865.13610647568203</v>
      </c>
      <c r="M1237" s="5">
        <f>29.44-25.56</f>
        <v>3.8800000000000026</v>
      </c>
      <c r="N1237" s="5"/>
      <c r="O1237" s="15">
        <f>40110*1.6978</f>
        <v>68098.758000000002</v>
      </c>
      <c r="P1237" s="5"/>
      <c r="Q1237" s="5"/>
      <c r="R1237" s="5">
        <v>1</v>
      </c>
      <c r="S1237" s="5"/>
      <c r="T1237" s="5"/>
      <c r="U1237" s="5"/>
      <c r="V1237" s="15">
        <f>30*0.7457</f>
        <v>22.371000000000002</v>
      </c>
      <c r="W1237" s="5"/>
      <c r="X1237" s="5"/>
      <c r="Y1237" s="5" t="s">
        <v>48</v>
      </c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16" t="s">
        <v>48</v>
      </c>
      <c r="AN1237" s="5"/>
      <c r="AO1237" s="8"/>
      <c r="AP1237" s="8"/>
      <c r="AQ1237" s="8"/>
      <c r="AR1237" s="8"/>
      <c r="AS1237" s="8"/>
      <c r="AT1237" s="8"/>
      <c r="AU1237" s="8"/>
      <c r="AV1237" s="8"/>
      <c r="AW1237" s="8"/>
      <c r="AX1237" s="8"/>
      <c r="AY1237" s="8"/>
      <c r="AZ1237" s="8"/>
      <c r="BA1237" s="8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8"/>
      <c r="BS1237" s="8"/>
      <c r="BT1237" s="8"/>
      <c r="BU1237" s="8"/>
      <c r="BV1237" s="8"/>
      <c r="BW1237" s="8"/>
      <c r="BX1237" s="8"/>
      <c r="BY1237" s="8"/>
      <c r="BZ1237" s="8"/>
      <c r="CA1237" s="8"/>
      <c r="CB1237" s="8"/>
      <c r="CC1237" s="8"/>
      <c r="CD1237" s="8"/>
      <c r="CE1237" s="8"/>
      <c r="CF1237" s="8"/>
      <c r="CG1237" s="8"/>
      <c r="CH1237" s="8"/>
      <c r="CI1237" s="8"/>
      <c r="CJ1237" s="8"/>
      <c r="CK1237" s="8"/>
      <c r="CL1237" s="8"/>
      <c r="CM1237" s="8"/>
      <c r="CN1237" s="8"/>
      <c r="CO1237" s="8"/>
      <c r="CP1237" s="8"/>
      <c r="CQ1237" s="8"/>
      <c r="CR1237" s="8"/>
      <c r="CS1237" s="8"/>
      <c r="CT1237" s="8"/>
      <c r="CU1237" s="8"/>
      <c r="CV1237" s="8"/>
      <c r="CW1237" s="8"/>
      <c r="CX1237" s="8"/>
      <c r="CY1237" s="8"/>
      <c r="CZ1237" s="8"/>
      <c r="DA1237" s="8"/>
      <c r="DB1237" s="8"/>
      <c r="DC1237" s="8"/>
      <c r="DD1237" s="8"/>
      <c r="DE1237" s="8"/>
      <c r="DF1237" s="8"/>
      <c r="DG1237" s="8"/>
      <c r="DH1237" s="8"/>
      <c r="DI1237" s="8"/>
      <c r="DJ1237" s="8"/>
      <c r="DK1237" s="8"/>
      <c r="DL1237" s="8"/>
      <c r="DM1237" s="8"/>
      <c r="DN1237" s="8"/>
      <c r="DO1237" s="8"/>
      <c r="DP1237" s="8"/>
      <c r="DQ1237" s="8"/>
      <c r="DR1237" s="8"/>
      <c r="DS1237" s="8"/>
      <c r="DT1237" s="8"/>
      <c r="DU1237" s="8"/>
      <c r="DV1237" s="8"/>
      <c r="DW1237" s="8"/>
      <c r="DX1237" s="8"/>
      <c r="DY1237" s="8"/>
      <c r="DZ1237" s="8"/>
      <c r="EA1237" s="8"/>
      <c r="EB1237" s="8"/>
      <c r="EC1237" s="8"/>
      <c r="ED1237" s="8"/>
      <c r="EE1237" s="8"/>
      <c r="EF1237" s="8"/>
      <c r="EG1237" s="8"/>
      <c r="EH1237" s="8"/>
      <c r="EI1237" s="8"/>
      <c r="EJ1237" s="8"/>
      <c r="EK1237" s="8"/>
      <c r="EL1237" s="8"/>
      <c r="EM1237" s="8"/>
      <c r="EN1237" s="8"/>
      <c r="EO1237" s="8"/>
      <c r="EP1237" s="8"/>
      <c r="EQ1237" s="8"/>
      <c r="ER1237" s="8"/>
      <c r="ES1237" s="8"/>
      <c r="ET1237" s="8"/>
      <c r="EU1237" s="8"/>
      <c r="EV1237" s="8"/>
      <c r="EW1237" s="8"/>
      <c r="EX1237" s="8"/>
      <c r="EY1237" s="8"/>
      <c r="EZ1237" s="8"/>
      <c r="FA1237" s="8"/>
      <c r="FB1237" s="8"/>
      <c r="FC1237" s="8"/>
      <c r="FD1237" s="8"/>
      <c r="FE1237" s="8"/>
      <c r="FF1237" s="8"/>
      <c r="FG1237" s="8"/>
      <c r="FH1237" s="8"/>
      <c r="FI1237" s="8"/>
      <c r="FJ1237" s="8"/>
      <c r="FK1237" s="8"/>
      <c r="FL1237" s="8"/>
      <c r="FM1237" s="8"/>
      <c r="FN1237" s="8"/>
      <c r="FO1237" s="8"/>
      <c r="FP1237" s="8"/>
      <c r="FQ1237" s="8"/>
      <c r="FR1237" s="8"/>
      <c r="FS1237" s="8"/>
      <c r="FT1237" s="8"/>
      <c r="FU1237" s="8"/>
      <c r="FV1237" s="8"/>
      <c r="FW1237" s="8"/>
      <c r="FX1237" s="8"/>
      <c r="FY1237" s="8"/>
      <c r="FZ1237" s="8"/>
      <c r="GA1237" s="8"/>
      <c r="GB1237" s="8"/>
      <c r="GC1237" s="8"/>
      <c r="GD1237" s="8"/>
      <c r="GE1237" s="8"/>
      <c r="GF1237" s="8"/>
      <c r="GG1237" s="8"/>
      <c r="GH1237" s="8"/>
      <c r="GI1237" s="8"/>
      <c r="GJ1237" s="8"/>
      <c r="GK1237" s="8"/>
      <c r="GL1237" s="8"/>
      <c r="GM1237" s="8"/>
      <c r="GN1237" s="8"/>
      <c r="GO1237" s="8"/>
      <c r="GP1237" s="8"/>
      <c r="GQ1237" s="8"/>
      <c r="GR1237" s="8"/>
      <c r="GS1237" s="8"/>
      <c r="GT1237" s="8"/>
      <c r="GU1237" s="8"/>
      <c r="GV1237" s="8"/>
      <c r="GW1237" s="8"/>
      <c r="GX1237" s="8"/>
      <c r="GY1237" s="8"/>
      <c r="GZ1237" s="8"/>
      <c r="HA1237" s="8"/>
      <c r="HB1237" s="8"/>
      <c r="HC1237" s="8"/>
      <c r="HD1237" s="8"/>
      <c r="HE1237" s="8"/>
      <c r="HF1237" s="8"/>
      <c r="HG1237" s="8"/>
      <c r="HH1237" s="8"/>
      <c r="HI1237" s="8"/>
      <c r="HJ1237" s="8"/>
      <c r="HK1237" s="8"/>
      <c r="HL1237" s="8"/>
      <c r="HM1237" s="8"/>
      <c r="HN1237" s="8"/>
      <c r="HO1237" s="8"/>
      <c r="HP1237" s="8"/>
      <c r="HQ1237" s="8"/>
      <c r="HR1237" s="8"/>
      <c r="HS1237" s="8"/>
      <c r="HT1237" s="8"/>
      <c r="HU1237" s="8"/>
      <c r="HV1237" s="8"/>
      <c r="HW1237" s="8"/>
      <c r="HX1237" s="8"/>
      <c r="HY1237" s="8"/>
      <c r="HZ1237" s="8"/>
      <c r="IA1237" s="8"/>
      <c r="IB1237" s="8"/>
      <c r="IC1237" s="8"/>
      <c r="ID1237" s="8"/>
      <c r="IE1237" s="8"/>
      <c r="IF1237" s="8"/>
    </row>
    <row r="1238" spans="1:240" ht="30" customHeight="1">
      <c r="A1238" s="5">
        <v>1236</v>
      </c>
      <c r="B1238" s="5"/>
      <c r="C1238" s="5"/>
      <c r="D1238" s="5" t="s">
        <v>68</v>
      </c>
      <c r="E1238" s="5">
        <v>1555</v>
      </c>
      <c r="F1238" s="5">
        <v>2045</v>
      </c>
      <c r="G1238" s="5">
        <v>3515</v>
      </c>
      <c r="H1238" s="5">
        <v>1150</v>
      </c>
      <c r="I1238" s="5" t="s">
        <v>13</v>
      </c>
      <c r="J1238" s="5">
        <f>520/1000*60</f>
        <v>31.200000000000003</v>
      </c>
      <c r="K1238" s="17">
        <f>37-32</f>
        <v>5</v>
      </c>
      <c r="L1238" s="24">
        <v>180.10050340698564</v>
      </c>
      <c r="M1238" s="5">
        <f>32-27</f>
        <v>5</v>
      </c>
      <c r="N1238" s="5"/>
      <c r="O1238" s="5">
        <f>260*60</f>
        <v>15600</v>
      </c>
      <c r="P1238" s="5"/>
      <c r="Q1238" s="5"/>
      <c r="R1238" s="5">
        <v>1</v>
      </c>
      <c r="S1238" s="5">
        <v>1000</v>
      </c>
      <c r="T1238" s="5"/>
      <c r="U1238" s="5"/>
      <c r="V1238" s="15">
        <f>0.7457*1*R1238</f>
        <v>0.74570000000000003</v>
      </c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8"/>
      <c r="AP1238" s="8"/>
      <c r="AQ1238" s="8"/>
      <c r="AR1238" s="8"/>
      <c r="AS1238" s="8"/>
      <c r="AT1238" s="8"/>
      <c r="AU1238" s="8"/>
      <c r="AV1238" s="8"/>
      <c r="AW1238" s="8"/>
      <c r="AX1238" s="8"/>
      <c r="AY1238" s="8"/>
      <c r="AZ1238" s="8"/>
      <c r="BA1238" s="8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8"/>
      <c r="BS1238" s="8"/>
      <c r="BT1238" s="8"/>
      <c r="BU1238" s="8"/>
      <c r="BV1238" s="8"/>
      <c r="BW1238" s="8"/>
      <c r="BX1238" s="8"/>
      <c r="BY1238" s="8"/>
      <c r="BZ1238" s="8"/>
      <c r="CA1238" s="8"/>
      <c r="CB1238" s="8"/>
      <c r="CC1238" s="8"/>
      <c r="CD1238" s="8"/>
      <c r="CE1238" s="8"/>
      <c r="CF1238" s="8"/>
      <c r="CG1238" s="8"/>
      <c r="CH1238" s="8"/>
      <c r="CI1238" s="8"/>
      <c r="CJ1238" s="8"/>
      <c r="CK1238" s="8"/>
      <c r="CL1238" s="8"/>
      <c r="CM1238" s="8"/>
      <c r="CN1238" s="8"/>
      <c r="CO1238" s="8"/>
      <c r="CP1238" s="8"/>
      <c r="CQ1238" s="8"/>
      <c r="CR1238" s="8"/>
      <c r="CS1238" s="8"/>
      <c r="CT1238" s="8"/>
      <c r="CU1238" s="8"/>
      <c r="CV1238" s="8"/>
      <c r="CW1238" s="8"/>
      <c r="CX1238" s="8"/>
      <c r="CY1238" s="8"/>
      <c r="CZ1238" s="8"/>
      <c r="DA1238" s="8"/>
      <c r="DB1238" s="8"/>
      <c r="DC1238" s="8"/>
      <c r="DD1238" s="8"/>
      <c r="DE1238" s="8"/>
      <c r="DF1238" s="8"/>
      <c r="DG1238" s="8"/>
      <c r="DH1238" s="8"/>
      <c r="DI1238" s="8"/>
      <c r="DJ1238" s="8"/>
      <c r="DK1238" s="8"/>
      <c r="DL1238" s="8"/>
      <c r="DM1238" s="8"/>
      <c r="DN1238" s="8"/>
      <c r="DO1238" s="8"/>
      <c r="DP1238" s="8"/>
      <c r="DQ1238" s="8"/>
      <c r="DR1238" s="8"/>
      <c r="DS1238" s="8"/>
      <c r="DT1238" s="8"/>
      <c r="DU1238" s="8"/>
      <c r="DV1238" s="8"/>
      <c r="DW1238" s="8"/>
      <c r="DX1238" s="8"/>
      <c r="DY1238" s="8"/>
      <c r="DZ1238" s="8"/>
      <c r="EA1238" s="8"/>
      <c r="EB1238" s="8"/>
      <c r="EC1238" s="8"/>
      <c r="ED1238" s="8"/>
      <c r="EE1238" s="8"/>
      <c r="EF1238" s="8"/>
      <c r="EG1238" s="8"/>
      <c r="EH1238" s="8"/>
      <c r="EI1238" s="8"/>
      <c r="EJ1238" s="8"/>
      <c r="EK1238" s="8"/>
      <c r="EL1238" s="8"/>
      <c r="EM1238" s="8"/>
      <c r="EN1238" s="8"/>
      <c r="EO1238" s="8"/>
      <c r="EP1238" s="8"/>
      <c r="EQ1238" s="8"/>
      <c r="ER1238" s="8"/>
      <c r="ES1238" s="8"/>
      <c r="ET1238" s="8"/>
      <c r="EU1238" s="8"/>
      <c r="EV1238" s="8"/>
      <c r="EW1238" s="8"/>
      <c r="EX1238" s="8"/>
      <c r="EY1238" s="8"/>
      <c r="EZ1238" s="8"/>
      <c r="FA1238" s="8"/>
      <c r="FB1238" s="8"/>
      <c r="FC1238" s="8"/>
      <c r="FD1238" s="8"/>
      <c r="FE1238" s="8"/>
      <c r="FF1238" s="8"/>
      <c r="FG1238" s="8"/>
      <c r="FH1238" s="8"/>
      <c r="FI1238" s="8"/>
      <c r="FJ1238" s="8"/>
      <c r="FK1238" s="8"/>
      <c r="FL1238" s="8"/>
      <c r="FM1238" s="8"/>
      <c r="FN1238" s="8"/>
      <c r="FO1238" s="8"/>
      <c r="FP1238" s="8"/>
      <c r="FQ1238" s="8"/>
      <c r="FR1238" s="8"/>
      <c r="FS1238" s="8"/>
      <c r="FT1238" s="8"/>
      <c r="FU1238" s="8"/>
      <c r="FV1238" s="8"/>
      <c r="FW1238" s="8"/>
      <c r="FX1238" s="8"/>
      <c r="FY1238" s="8"/>
      <c r="FZ1238" s="8"/>
      <c r="GA1238" s="8"/>
      <c r="GB1238" s="8"/>
      <c r="GC1238" s="8"/>
      <c r="GD1238" s="8"/>
      <c r="GE1238" s="8"/>
      <c r="GF1238" s="8"/>
      <c r="GG1238" s="8"/>
      <c r="GH1238" s="8"/>
      <c r="GI1238" s="8"/>
      <c r="GJ1238" s="8"/>
      <c r="GK1238" s="8"/>
      <c r="GL1238" s="8"/>
      <c r="GM1238" s="8"/>
      <c r="GN1238" s="8"/>
      <c r="GO1238" s="8"/>
      <c r="GP1238" s="8"/>
      <c r="GQ1238" s="8"/>
      <c r="GR1238" s="8"/>
      <c r="GS1238" s="8"/>
      <c r="GT1238" s="8"/>
      <c r="GU1238" s="8"/>
      <c r="GV1238" s="8"/>
      <c r="GW1238" s="8"/>
      <c r="GX1238" s="8"/>
      <c r="GY1238" s="8"/>
      <c r="GZ1238" s="8"/>
      <c r="HA1238" s="8"/>
      <c r="HB1238" s="8"/>
      <c r="HC1238" s="8"/>
      <c r="HD1238" s="8"/>
      <c r="HE1238" s="8"/>
      <c r="HF1238" s="8"/>
      <c r="HG1238" s="8"/>
      <c r="HH1238" s="8"/>
      <c r="HI1238" s="8"/>
      <c r="HJ1238" s="8"/>
      <c r="HK1238" s="8"/>
      <c r="HL1238" s="8"/>
      <c r="HM1238" s="8"/>
      <c r="HN1238" s="8"/>
      <c r="HO1238" s="8"/>
      <c r="HP1238" s="8"/>
      <c r="HQ1238" s="8"/>
      <c r="HR1238" s="8"/>
      <c r="HS1238" s="8"/>
      <c r="HT1238" s="8"/>
      <c r="HU1238" s="8"/>
      <c r="HV1238" s="8"/>
      <c r="HW1238" s="8"/>
      <c r="HX1238" s="8"/>
      <c r="HY1238" s="8"/>
      <c r="HZ1238" s="8"/>
      <c r="IA1238" s="8"/>
      <c r="IB1238" s="8"/>
      <c r="IC1238" s="8"/>
      <c r="ID1238" s="8"/>
      <c r="IE1238" s="8"/>
      <c r="IF1238" s="8"/>
    </row>
    <row r="1239" spans="1:240" ht="30" customHeight="1">
      <c r="A1239" s="5">
        <v>1237</v>
      </c>
      <c r="B1239" s="5"/>
      <c r="C1239" s="5"/>
      <c r="D1239" s="5" t="s">
        <v>68</v>
      </c>
      <c r="E1239" s="5">
        <v>1755</v>
      </c>
      <c r="F1239" s="5">
        <v>2045</v>
      </c>
      <c r="G1239" s="5">
        <v>3515</v>
      </c>
      <c r="H1239" s="5">
        <v>1320</v>
      </c>
      <c r="I1239" s="5" t="s">
        <v>13</v>
      </c>
      <c r="J1239" s="5">
        <f>650/1000*60</f>
        <v>39</v>
      </c>
      <c r="K1239" s="17">
        <f t="shared" ref="K1239:K1252" si="36">37-32</f>
        <v>5</v>
      </c>
      <c r="L1239" s="24">
        <v>225.125629258732</v>
      </c>
      <c r="M1239" s="5">
        <f t="shared" ref="M1239:M1252" si="37">32-27</f>
        <v>5</v>
      </c>
      <c r="N1239" s="5"/>
      <c r="O1239" s="5">
        <f>330*60</f>
        <v>19800</v>
      </c>
      <c r="P1239" s="5"/>
      <c r="Q1239" s="5"/>
      <c r="R1239" s="5">
        <v>1</v>
      </c>
      <c r="S1239" s="5">
        <v>1000</v>
      </c>
      <c r="T1239" s="5"/>
      <c r="U1239" s="5"/>
      <c r="V1239" s="15">
        <f>0.7457*1*R1239</f>
        <v>0.74570000000000003</v>
      </c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8"/>
      <c r="BS1239" s="8"/>
      <c r="BT1239" s="8"/>
      <c r="BU1239" s="8"/>
      <c r="BV1239" s="8"/>
      <c r="BW1239" s="8"/>
      <c r="BX1239" s="8"/>
      <c r="BY1239" s="8"/>
      <c r="BZ1239" s="8"/>
      <c r="CA1239" s="8"/>
      <c r="CB1239" s="8"/>
      <c r="CC1239" s="8"/>
      <c r="CD1239" s="8"/>
      <c r="CE1239" s="8"/>
      <c r="CF1239" s="8"/>
      <c r="CG1239" s="8"/>
      <c r="CH1239" s="8"/>
      <c r="CI1239" s="8"/>
      <c r="CJ1239" s="8"/>
      <c r="CK1239" s="8"/>
      <c r="CL1239" s="8"/>
      <c r="CM1239" s="8"/>
      <c r="CN1239" s="8"/>
      <c r="CO1239" s="8"/>
      <c r="CP1239" s="8"/>
      <c r="CQ1239" s="8"/>
      <c r="CR1239" s="8"/>
      <c r="CS1239" s="8"/>
      <c r="CT1239" s="8"/>
      <c r="CU1239" s="8"/>
      <c r="CV1239" s="8"/>
      <c r="CW1239" s="8"/>
      <c r="CX1239" s="8"/>
      <c r="CY1239" s="8"/>
      <c r="CZ1239" s="8"/>
      <c r="DA1239" s="8"/>
      <c r="DB1239" s="8"/>
      <c r="DC1239" s="8"/>
      <c r="DD1239" s="8"/>
      <c r="DE1239" s="8"/>
      <c r="DF1239" s="8"/>
      <c r="DG1239" s="8"/>
      <c r="DH1239" s="8"/>
      <c r="DI1239" s="8"/>
      <c r="DJ1239" s="8"/>
      <c r="DK1239" s="8"/>
      <c r="DL1239" s="8"/>
      <c r="DM1239" s="8"/>
      <c r="DN1239" s="8"/>
      <c r="DO1239" s="8"/>
      <c r="DP1239" s="8"/>
      <c r="DQ1239" s="8"/>
      <c r="DR1239" s="8"/>
      <c r="DS1239" s="8"/>
      <c r="DT1239" s="8"/>
      <c r="DU1239" s="8"/>
      <c r="DV1239" s="8"/>
      <c r="DW1239" s="8"/>
      <c r="DX1239" s="8"/>
      <c r="DY1239" s="8"/>
      <c r="DZ1239" s="8"/>
      <c r="EA1239" s="8"/>
      <c r="EB1239" s="8"/>
      <c r="EC1239" s="8"/>
      <c r="ED1239" s="8"/>
      <c r="EE1239" s="8"/>
      <c r="EF1239" s="8"/>
      <c r="EG1239" s="8"/>
      <c r="EH1239" s="8"/>
      <c r="EI1239" s="8"/>
      <c r="EJ1239" s="8"/>
      <c r="EK1239" s="8"/>
      <c r="EL1239" s="8"/>
      <c r="EM1239" s="8"/>
      <c r="EN1239" s="8"/>
      <c r="EO1239" s="8"/>
      <c r="EP1239" s="8"/>
      <c r="EQ1239" s="8"/>
      <c r="ER1239" s="8"/>
      <c r="ES1239" s="8"/>
      <c r="ET1239" s="8"/>
      <c r="EU1239" s="8"/>
      <c r="EV1239" s="8"/>
      <c r="EW1239" s="8"/>
      <c r="EX1239" s="8"/>
      <c r="EY1239" s="8"/>
      <c r="EZ1239" s="8"/>
      <c r="FA1239" s="8"/>
      <c r="FB1239" s="8"/>
      <c r="FC1239" s="8"/>
      <c r="FD1239" s="8"/>
      <c r="FE1239" s="8"/>
      <c r="FF1239" s="8"/>
      <c r="FG1239" s="8"/>
      <c r="FH1239" s="8"/>
      <c r="FI1239" s="8"/>
      <c r="FJ1239" s="8"/>
      <c r="FK1239" s="8"/>
      <c r="FL1239" s="8"/>
      <c r="FM1239" s="8"/>
      <c r="FN1239" s="8"/>
      <c r="FO1239" s="8"/>
      <c r="FP1239" s="8"/>
      <c r="FQ1239" s="8"/>
      <c r="FR1239" s="8"/>
      <c r="FS1239" s="8"/>
      <c r="FT1239" s="8"/>
      <c r="FU1239" s="8"/>
      <c r="FV1239" s="8"/>
      <c r="FW1239" s="8"/>
      <c r="FX1239" s="8"/>
      <c r="FY1239" s="8"/>
      <c r="FZ1239" s="8"/>
      <c r="GA1239" s="8"/>
      <c r="GB1239" s="8"/>
      <c r="GC1239" s="8"/>
      <c r="GD1239" s="8"/>
      <c r="GE1239" s="8"/>
      <c r="GF1239" s="8"/>
      <c r="GG1239" s="8"/>
      <c r="GH1239" s="8"/>
      <c r="GI1239" s="8"/>
      <c r="GJ1239" s="8"/>
      <c r="GK1239" s="8"/>
      <c r="GL1239" s="8"/>
      <c r="GM1239" s="8"/>
      <c r="GN1239" s="8"/>
      <c r="GO1239" s="8"/>
      <c r="GP1239" s="8"/>
      <c r="GQ1239" s="8"/>
      <c r="GR1239" s="8"/>
      <c r="GS1239" s="8"/>
      <c r="GT1239" s="8"/>
      <c r="GU1239" s="8"/>
      <c r="GV1239" s="8"/>
      <c r="GW1239" s="8"/>
      <c r="GX1239" s="8"/>
      <c r="GY1239" s="8"/>
      <c r="GZ1239" s="8"/>
      <c r="HA1239" s="8"/>
      <c r="HB1239" s="8"/>
      <c r="HC1239" s="8"/>
      <c r="HD1239" s="8"/>
      <c r="HE1239" s="8"/>
      <c r="HF1239" s="8"/>
      <c r="HG1239" s="8"/>
      <c r="HH1239" s="8"/>
      <c r="HI1239" s="8"/>
      <c r="HJ1239" s="8"/>
      <c r="HK1239" s="8"/>
      <c r="HL1239" s="8"/>
      <c r="HM1239" s="8"/>
      <c r="HN1239" s="8"/>
      <c r="HO1239" s="8"/>
      <c r="HP1239" s="8"/>
      <c r="HQ1239" s="8"/>
      <c r="HR1239" s="8"/>
      <c r="HS1239" s="8"/>
      <c r="HT1239" s="8"/>
      <c r="HU1239" s="8"/>
      <c r="HV1239" s="8"/>
      <c r="HW1239" s="8"/>
      <c r="HX1239" s="8"/>
      <c r="HY1239" s="8"/>
      <c r="HZ1239" s="8"/>
      <c r="IA1239" s="8"/>
      <c r="IB1239" s="8"/>
      <c r="IC1239" s="8"/>
      <c r="ID1239" s="8"/>
      <c r="IE1239" s="8"/>
      <c r="IF1239" s="8"/>
    </row>
    <row r="1240" spans="1:240" ht="30" customHeight="1">
      <c r="A1240" s="5">
        <v>1238</v>
      </c>
      <c r="B1240" s="5"/>
      <c r="C1240" s="5"/>
      <c r="D1240" s="5" t="s">
        <v>68</v>
      </c>
      <c r="E1240" s="5">
        <v>1955</v>
      </c>
      <c r="F1240" s="5">
        <v>2145</v>
      </c>
      <c r="G1240" s="5">
        <v>3625</v>
      </c>
      <c r="H1240" s="5">
        <v>1520</v>
      </c>
      <c r="I1240" s="5" t="s">
        <v>13</v>
      </c>
      <c r="J1240" s="5">
        <f>780/1000*60</f>
        <v>46.800000000000004</v>
      </c>
      <c r="K1240" s="17">
        <f t="shared" si="36"/>
        <v>5</v>
      </c>
      <c r="L1240" s="24">
        <v>270.15075511047843</v>
      </c>
      <c r="M1240" s="5">
        <f t="shared" si="37"/>
        <v>5</v>
      </c>
      <c r="N1240" s="5"/>
      <c r="O1240" s="5">
        <f>420*60</f>
        <v>25200</v>
      </c>
      <c r="P1240" s="5"/>
      <c r="Q1240" s="5"/>
      <c r="R1240" s="5">
        <v>1</v>
      </c>
      <c r="S1240" s="5">
        <v>1200</v>
      </c>
      <c r="T1240" s="5"/>
      <c r="U1240" s="5"/>
      <c r="V1240" s="15">
        <f>0.7457*1.5*R1240</f>
        <v>1.1185499999999999</v>
      </c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8"/>
      <c r="AP1240" s="8"/>
      <c r="AQ1240" s="8"/>
      <c r="AR1240" s="8"/>
      <c r="AS1240" s="8"/>
      <c r="AT1240" s="8"/>
      <c r="AU1240" s="8"/>
      <c r="AV1240" s="8"/>
      <c r="AW1240" s="8"/>
      <c r="AX1240" s="8"/>
      <c r="AY1240" s="8"/>
      <c r="AZ1240" s="8"/>
      <c r="BA1240" s="8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8"/>
      <c r="BS1240" s="8"/>
      <c r="BT1240" s="8"/>
      <c r="BU1240" s="8"/>
      <c r="BV1240" s="8"/>
      <c r="BW1240" s="8"/>
      <c r="BX1240" s="8"/>
      <c r="BY1240" s="8"/>
      <c r="BZ1240" s="8"/>
      <c r="CA1240" s="8"/>
      <c r="CB1240" s="8"/>
      <c r="CC1240" s="8"/>
      <c r="CD1240" s="8"/>
      <c r="CE1240" s="8"/>
      <c r="CF1240" s="8"/>
      <c r="CG1240" s="8"/>
      <c r="CH1240" s="8"/>
      <c r="CI1240" s="8"/>
      <c r="CJ1240" s="8"/>
      <c r="CK1240" s="8"/>
      <c r="CL1240" s="8"/>
      <c r="CM1240" s="8"/>
      <c r="CN1240" s="8"/>
      <c r="CO1240" s="8"/>
      <c r="CP1240" s="8"/>
      <c r="CQ1240" s="8"/>
      <c r="CR1240" s="8"/>
      <c r="CS1240" s="8"/>
      <c r="CT1240" s="8"/>
      <c r="CU1240" s="8"/>
      <c r="CV1240" s="8"/>
      <c r="CW1240" s="8"/>
      <c r="CX1240" s="8"/>
      <c r="CY1240" s="8"/>
      <c r="CZ1240" s="8"/>
      <c r="DA1240" s="8"/>
      <c r="DB1240" s="8"/>
      <c r="DC1240" s="8"/>
      <c r="DD1240" s="8"/>
      <c r="DE1240" s="8"/>
      <c r="DF1240" s="8"/>
      <c r="DG1240" s="8"/>
      <c r="DH1240" s="8"/>
      <c r="DI1240" s="8"/>
      <c r="DJ1240" s="8"/>
      <c r="DK1240" s="8"/>
      <c r="DL1240" s="8"/>
      <c r="DM1240" s="8"/>
      <c r="DN1240" s="8"/>
      <c r="DO1240" s="8"/>
      <c r="DP1240" s="8"/>
      <c r="DQ1240" s="8"/>
      <c r="DR1240" s="8"/>
      <c r="DS1240" s="8"/>
      <c r="DT1240" s="8"/>
      <c r="DU1240" s="8"/>
      <c r="DV1240" s="8"/>
      <c r="DW1240" s="8"/>
      <c r="DX1240" s="8"/>
      <c r="DY1240" s="8"/>
      <c r="DZ1240" s="8"/>
      <c r="EA1240" s="8"/>
      <c r="EB1240" s="8"/>
      <c r="EC1240" s="8"/>
      <c r="ED1240" s="8"/>
      <c r="EE1240" s="8"/>
      <c r="EF1240" s="8"/>
      <c r="EG1240" s="8"/>
      <c r="EH1240" s="8"/>
      <c r="EI1240" s="8"/>
      <c r="EJ1240" s="8"/>
      <c r="EK1240" s="8"/>
      <c r="EL1240" s="8"/>
      <c r="EM1240" s="8"/>
      <c r="EN1240" s="8"/>
      <c r="EO1240" s="8"/>
      <c r="EP1240" s="8"/>
      <c r="EQ1240" s="8"/>
      <c r="ER1240" s="8"/>
      <c r="ES1240" s="8"/>
      <c r="ET1240" s="8"/>
      <c r="EU1240" s="8"/>
      <c r="EV1240" s="8"/>
      <c r="EW1240" s="8"/>
      <c r="EX1240" s="8"/>
      <c r="EY1240" s="8"/>
      <c r="EZ1240" s="8"/>
      <c r="FA1240" s="8"/>
      <c r="FB1240" s="8"/>
      <c r="FC1240" s="8"/>
      <c r="FD1240" s="8"/>
      <c r="FE1240" s="8"/>
      <c r="FF1240" s="8"/>
      <c r="FG1240" s="8"/>
      <c r="FH1240" s="8"/>
      <c r="FI1240" s="8"/>
      <c r="FJ1240" s="8"/>
      <c r="FK1240" s="8"/>
      <c r="FL1240" s="8"/>
      <c r="FM1240" s="8"/>
      <c r="FN1240" s="8"/>
      <c r="FO1240" s="8"/>
      <c r="FP1240" s="8"/>
      <c r="FQ1240" s="8"/>
      <c r="FR1240" s="8"/>
      <c r="FS1240" s="8"/>
      <c r="FT1240" s="8"/>
      <c r="FU1240" s="8"/>
      <c r="FV1240" s="8"/>
      <c r="FW1240" s="8"/>
      <c r="FX1240" s="8"/>
      <c r="FY1240" s="8"/>
      <c r="FZ1240" s="8"/>
      <c r="GA1240" s="8"/>
      <c r="GB1240" s="8"/>
      <c r="GC1240" s="8"/>
      <c r="GD1240" s="8"/>
      <c r="GE1240" s="8"/>
      <c r="GF1240" s="8"/>
      <c r="GG1240" s="8"/>
      <c r="GH1240" s="8"/>
      <c r="GI1240" s="8"/>
      <c r="GJ1240" s="8"/>
      <c r="GK1240" s="8"/>
      <c r="GL1240" s="8"/>
      <c r="GM1240" s="8"/>
      <c r="GN1240" s="8"/>
      <c r="GO1240" s="8"/>
      <c r="GP1240" s="8"/>
      <c r="GQ1240" s="8"/>
      <c r="GR1240" s="8"/>
      <c r="GS1240" s="8"/>
      <c r="GT1240" s="8"/>
      <c r="GU1240" s="8"/>
      <c r="GV1240" s="8"/>
      <c r="GW1240" s="8"/>
      <c r="GX1240" s="8"/>
      <c r="GY1240" s="8"/>
      <c r="GZ1240" s="8"/>
      <c r="HA1240" s="8"/>
      <c r="HB1240" s="8"/>
      <c r="HC1240" s="8"/>
      <c r="HD1240" s="8"/>
      <c r="HE1240" s="8"/>
      <c r="HF1240" s="8"/>
      <c r="HG1240" s="8"/>
      <c r="HH1240" s="8"/>
      <c r="HI1240" s="8"/>
      <c r="HJ1240" s="8"/>
      <c r="HK1240" s="8"/>
      <c r="HL1240" s="8"/>
      <c r="HM1240" s="8"/>
      <c r="HN1240" s="8"/>
      <c r="HO1240" s="8"/>
      <c r="HP1240" s="8"/>
      <c r="HQ1240" s="8"/>
      <c r="HR1240" s="8"/>
      <c r="HS1240" s="8"/>
      <c r="HT1240" s="8"/>
      <c r="HU1240" s="8"/>
      <c r="HV1240" s="8"/>
      <c r="HW1240" s="8"/>
      <c r="HX1240" s="8"/>
      <c r="HY1240" s="8"/>
      <c r="HZ1240" s="8"/>
      <c r="IA1240" s="8"/>
      <c r="IB1240" s="8"/>
      <c r="IC1240" s="8"/>
      <c r="ID1240" s="8"/>
      <c r="IE1240" s="8"/>
      <c r="IF1240" s="8"/>
    </row>
    <row r="1241" spans="1:240" ht="30" customHeight="1">
      <c r="A1241" s="5">
        <v>1239</v>
      </c>
      <c r="B1241" s="5"/>
      <c r="C1241" s="5"/>
      <c r="D1241" s="5" t="s">
        <v>68</v>
      </c>
      <c r="E1241" s="5">
        <v>2155</v>
      </c>
      <c r="F1241" s="5">
        <v>2145</v>
      </c>
      <c r="G1241" s="5">
        <v>3625</v>
      </c>
      <c r="H1241" s="5">
        <v>1780</v>
      </c>
      <c r="I1241" s="5" t="s">
        <v>13</v>
      </c>
      <c r="J1241" s="5">
        <f>910/1000*60</f>
        <v>54.6</v>
      </c>
      <c r="K1241" s="17">
        <f t="shared" si="36"/>
        <v>5</v>
      </c>
      <c r="L1241" s="24">
        <v>315.17588096222477</v>
      </c>
      <c r="M1241" s="5">
        <f t="shared" si="37"/>
        <v>5</v>
      </c>
      <c r="N1241" s="5"/>
      <c r="O1241" s="5">
        <f>450*60</f>
        <v>27000</v>
      </c>
      <c r="P1241" s="5"/>
      <c r="Q1241" s="5"/>
      <c r="R1241" s="5">
        <v>1</v>
      </c>
      <c r="S1241" s="5">
        <v>1200</v>
      </c>
      <c r="T1241" s="5"/>
      <c r="U1241" s="5"/>
      <c r="V1241" s="15">
        <f>0.7457*1.5*R1241</f>
        <v>1.1185499999999999</v>
      </c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8"/>
      <c r="BS1241" s="8"/>
      <c r="BT1241" s="8"/>
      <c r="BU1241" s="8"/>
      <c r="BV1241" s="8"/>
      <c r="BW1241" s="8"/>
      <c r="BX1241" s="8"/>
      <c r="BY1241" s="8"/>
      <c r="BZ1241" s="8"/>
      <c r="CA1241" s="8"/>
      <c r="CB1241" s="8"/>
      <c r="CC1241" s="8"/>
      <c r="CD1241" s="8"/>
      <c r="CE1241" s="8"/>
      <c r="CF1241" s="8"/>
      <c r="CG1241" s="8"/>
      <c r="CH1241" s="8"/>
      <c r="CI1241" s="8"/>
      <c r="CJ1241" s="8"/>
      <c r="CK1241" s="8"/>
      <c r="CL1241" s="8"/>
      <c r="CM1241" s="8"/>
      <c r="CN1241" s="8"/>
      <c r="CO1241" s="8"/>
      <c r="CP1241" s="8"/>
      <c r="CQ1241" s="8"/>
      <c r="CR1241" s="8"/>
      <c r="CS1241" s="8"/>
      <c r="CT1241" s="8"/>
      <c r="CU1241" s="8"/>
      <c r="CV1241" s="8"/>
      <c r="CW1241" s="8"/>
      <c r="CX1241" s="8"/>
      <c r="CY1241" s="8"/>
      <c r="CZ1241" s="8"/>
      <c r="DA1241" s="8"/>
      <c r="DB1241" s="8"/>
      <c r="DC1241" s="8"/>
      <c r="DD1241" s="8"/>
      <c r="DE1241" s="8"/>
      <c r="DF1241" s="8"/>
      <c r="DG1241" s="8"/>
      <c r="DH1241" s="8"/>
      <c r="DI1241" s="8"/>
      <c r="DJ1241" s="8"/>
      <c r="DK1241" s="8"/>
      <c r="DL1241" s="8"/>
      <c r="DM1241" s="8"/>
      <c r="DN1241" s="8"/>
      <c r="DO1241" s="8"/>
      <c r="DP1241" s="8"/>
      <c r="DQ1241" s="8"/>
      <c r="DR1241" s="8"/>
      <c r="DS1241" s="8"/>
      <c r="DT1241" s="8"/>
      <c r="DU1241" s="8"/>
      <c r="DV1241" s="8"/>
      <c r="DW1241" s="8"/>
      <c r="DX1241" s="8"/>
      <c r="DY1241" s="8"/>
      <c r="DZ1241" s="8"/>
      <c r="EA1241" s="8"/>
      <c r="EB1241" s="8"/>
      <c r="EC1241" s="8"/>
      <c r="ED1241" s="8"/>
      <c r="EE1241" s="8"/>
      <c r="EF1241" s="8"/>
      <c r="EG1241" s="8"/>
      <c r="EH1241" s="8"/>
      <c r="EI1241" s="8"/>
      <c r="EJ1241" s="8"/>
      <c r="EK1241" s="8"/>
      <c r="EL1241" s="8"/>
      <c r="EM1241" s="8"/>
      <c r="EN1241" s="8"/>
      <c r="EO1241" s="8"/>
      <c r="EP1241" s="8"/>
      <c r="EQ1241" s="8"/>
      <c r="ER1241" s="8"/>
      <c r="ES1241" s="8"/>
      <c r="ET1241" s="8"/>
      <c r="EU1241" s="8"/>
      <c r="EV1241" s="8"/>
      <c r="EW1241" s="8"/>
      <c r="EX1241" s="8"/>
      <c r="EY1241" s="8"/>
      <c r="EZ1241" s="8"/>
      <c r="FA1241" s="8"/>
      <c r="FB1241" s="8"/>
      <c r="FC1241" s="8"/>
      <c r="FD1241" s="8"/>
      <c r="FE1241" s="8"/>
      <c r="FF1241" s="8"/>
      <c r="FG1241" s="8"/>
      <c r="FH1241" s="8"/>
      <c r="FI1241" s="8"/>
      <c r="FJ1241" s="8"/>
      <c r="FK1241" s="8"/>
      <c r="FL1241" s="8"/>
      <c r="FM1241" s="8"/>
      <c r="FN1241" s="8"/>
      <c r="FO1241" s="8"/>
      <c r="FP1241" s="8"/>
      <c r="FQ1241" s="8"/>
      <c r="FR1241" s="8"/>
      <c r="FS1241" s="8"/>
      <c r="FT1241" s="8"/>
      <c r="FU1241" s="8"/>
      <c r="FV1241" s="8"/>
      <c r="FW1241" s="8"/>
      <c r="FX1241" s="8"/>
      <c r="FY1241" s="8"/>
      <c r="FZ1241" s="8"/>
      <c r="GA1241" s="8"/>
      <c r="GB1241" s="8"/>
      <c r="GC1241" s="8"/>
      <c r="GD1241" s="8"/>
      <c r="GE1241" s="8"/>
      <c r="GF1241" s="8"/>
      <c r="GG1241" s="8"/>
      <c r="GH1241" s="8"/>
      <c r="GI1241" s="8"/>
      <c r="GJ1241" s="8"/>
      <c r="GK1241" s="8"/>
      <c r="GL1241" s="8"/>
      <c r="GM1241" s="8"/>
      <c r="GN1241" s="8"/>
      <c r="GO1241" s="8"/>
      <c r="GP1241" s="8"/>
      <c r="GQ1241" s="8"/>
      <c r="GR1241" s="8"/>
      <c r="GS1241" s="8"/>
      <c r="GT1241" s="8"/>
      <c r="GU1241" s="8"/>
      <c r="GV1241" s="8"/>
      <c r="GW1241" s="8"/>
      <c r="GX1241" s="8"/>
      <c r="GY1241" s="8"/>
      <c r="GZ1241" s="8"/>
      <c r="HA1241" s="8"/>
      <c r="HB1241" s="8"/>
      <c r="HC1241" s="8"/>
      <c r="HD1241" s="8"/>
      <c r="HE1241" s="8"/>
      <c r="HF1241" s="8"/>
      <c r="HG1241" s="8"/>
      <c r="HH1241" s="8"/>
      <c r="HI1241" s="8"/>
      <c r="HJ1241" s="8"/>
      <c r="HK1241" s="8"/>
      <c r="HL1241" s="8"/>
      <c r="HM1241" s="8"/>
      <c r="HN1241" s="8"/>
      <c r="HO1241" s="8"/>
      <c r="HP1241" s="8"/>
      <c r="HQ1241" s="8"/>
      <c r="HR1241" s="8"/>
      <c r="HS1241" s="8"/>
      <c r="HT1241" s="8"/>
      <c r="HU1241" s="8"/>
      <c r="HV1241" s="8"/>
      <c r="HW1241" s="8"/>
      <c r="HX1241" s="8"/>
      <c r="HY1241" s="8"/>
      <c r="HZ1241" s="8"/>
      <c r="IA1241" s="8"/>
      <c r="IB1241" s="8"/>
      <c r="IC1241" s="8"/>
      <c r="ID1241" s="8"/>
      <c r="IE1241" s="8"/>
      <c r="IF1241" s="8"/>
    </row>
    <row r="1242" spans="1:240" ht="30" customHeight="1">
      <c r="A1242" s="5">
        <v>1240</v>
      </c>
      <c r="B1242" s="5"/>
      <c r="C1242" s="5"/>
      <c r="D1242" s="5" t="s">
        <v>68</v>
      </c>
      <c r="E1242" s="5">
        <v>1555</v>
      </c>
      <c r="F1242" s="5">
        <v>2680</v>
      </c>
      <c r="G1242" s="5">
        <v>3670</v>
      </c>
      <c r="H1242" s="5">
        <v>1940</v>
      </c>
      <c r="I1242" s="5" t="s">
        <v>13</v>
      </c>
      <c r="J1242" s="5">
        <f>1040/1000*60</f>
        <v>62.400000000000006</v>
      </c>
      <c r="K1242" s="17">
        <f t="shared" si="36"/>
        <v>5</v>
      </c>
      <c r="L1242" s="24">
        <v>360.20100681397128</v>
      </c>
      <c r="M1242" s="5">
        <f t="shared" si="37"/>
        <v>5</v>
      </c>
      <c r="N1242" s="5"/>
      <c r="O1242" s="5">
        <f>560*60</f>
        <v>33600</v>
      </c>
      <c r="P1242" s="5"/>
      <c r="Q1242" s="5"/>
      <c r="R1242" s="5">
        <v>1</v>
      </c>
      <c r="S1242" s="5">
        <v>1200</v>
      </c>
      <c r="T1242" s="5"/>
      <c r="U1242" s="5"/>
      <c r="V1242" s="15">
        <f>0.7457*2*R1242</f>
        <v>1.4914000000000001</v>
      </c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8"/>
      <c r="AP1242" s="8"/>
      <c r="AQ1242" s="8"/>
      <c r="AR1242" s="8"/>
      <c r="AS1242" s="8"/>
      <c r="AT1242" s="8"/>
      <c r="AU1242" s="8"/>
      <c r="AV1242" s="8"/>
      <c r="AW1242" s="8"/>
      <c r="AX1242" s="8"/>
      <c r="AY1242" s="8"/>
      <c r="AZ1242" s="8"/>
      <c r="BA1242" s="8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8"/>
      <c r="BS1242" s="8"/>
      <c r="BT1242" s="8"/>
      <c r="BU1242" s="8"/>
      <c r="BV1242" s="8"/>
      <c r="BW1242" s="8"/>
      <c r="BX1242" s="8"/>
      <c r="BY1242" s="8"/>
      <c r="BZ1242" s="8"/>
      <c r="CA1242" s="8"/>
      <c r="CB1242" s="8"/>
      <c r="CC1242" s="8"/>
      <c r="CD1242" s="8"/>
      <c r="CE1242" s="8"/>
      <c r="CF1242" s="8"/>
      <c r="CG1242" s="8"/>
      <c r="CH1242" s="8"/>
      <c r="CI1242" s="8"/>
      <c r="CJ1242" s="8"/>
      <c r="CK1242" s="8"/>
      <c r="CL1242" s="8"/>
      <c r="CM1242" s="8"/>
      <c r="CN1242" s="8"/>
      <c r="CO1242" s="8"/>
      <c r="CP1242" s="8"/>
      <c r="CQ1242" s="8"/>
      <c r="CR1242" s="8"/>
      <c r="CS1242" s="8"/>
      <c r="CT1242" s="8"/>
      <c r="CU1242" s="8"/>
      <c r="CV1242" s="8"/>
      <c r="CW1242" s="8"/>
      <c r="CX1242" s="8"/>
      <c r="CY1242" s="8"/>
      <c r="CZ1242" s="8"/>
      <c r="DA1242" s="8"/>
      <c r="DB1242" s="8"/>
      <c r="DC1242" s="8"/>
      <c r="DD1242" s="8"/>
      <c r="DE1242" s="8"/>
      <c r="DF1242" s="8"/>
      <c r="DG1242" s="8"/>
      <c r="DH1242" s="8"/>
      <c r="DI1242" s="8"/>
      <c r="DJ1242" s="8"/>
      <c r="DK1242" s="8"/>
      <c r="DL1242" s="8"/>
      <c r="DM1242" s="8"/>
      <c r="DN1242" s="8"/>
      <c r="DO1242" s="8"/>
      <c r="DP1242" s="8"/>
      <c r="DQ1242" s="8"/>
      <c r="DR1242" s="8"/>
      <c r="DS1242" s="8"/>
      <c r="DT1242" s="8"/>
      <c r="DU1242" s="8"/>
      <c r="DV1242" s="8"/>
      <c r="DW1242" s="8"/>
      <c r="DX1242" s="8"/>
      <c r="DY1242" s="8"/>
      <c r="DZ1242" s="8"/>
      <c r="EA1242" s="8"/>
      <c r="EB1242" s="8"/>
      <c r="EC1242" s="8"/>
      <c r="ED1242" s="8"/>
      <c r="EE1242" s="8"/>
      <c r="EF1242" s="8"/>
      <c r="EG1242" s="8"/>
      <c r="EH1242" s="8"/>
      <c r="EI1242" s="8"/>
      <c r="EJ1242" s="8"/>
      <c r="EK1242" s="8"/>
      <c r="EL1242" s="8"/>
      <c r="EM1242" s="8"/>
      <c r="EN1242" s="8"/>
      <c r="EO1242" s="8"/>
      <c r="EP1242" s="8"/>
      <c r="EQ1242" s="8"/>
      <c r="ER1242" s="8"/>
      <c r="ES1242" s="8"/>
      <c r="ET1242" s="8"/>
      <c r="EU1242" s="8"/>
      <c r="EV1242" s="8"/>
      <c r="EW1242" s="8"/>
      <c r="EX1242" s="8"/>
      <c r="EY1242" s="8"/>
      <c r="EZ1242" s="8"/>
      <c r="FA1242" s="8"/>
      <c r="FB1242" s="8"/>
      <c r="FC1242" s="8"/>
      <c r="FD1242" s="8"/>
      <c r="FE1242" s="8"/>
      <c r="FF1242" s="8"/>
      <c r="FG1242" s="8"/>
      <c r="FH1242" s="8"/>
      <c r="FI1242" s="8"/>
      <c r="FJ1242" s="8"/>
      <c r="FK1242" s="8"/>
      <c r="FL1242" s="8"/>
      <c r="FM1242" s="8"/>
      <c r="FN1242" s="8"/>
      <c r="FO1242" s="8"/>
      <c r="FP1242" s="8"/>
      <c r="FQ1242" s="8"/>
      <c r="FR1242" s="8"/>
      <c r="FS1242" s="8"/>
      <c r="FT1242" s="8"/>
      <c r="FU1242" s="8"/>
      <c r="FV1242" s="8"/>
      <c r="FW1242" s="8"/>
      <c r="FX1242" s="8"/>
      <c r="FY1242" s="8"/>
      <c r="FZ1242" s="8"/>
      <c r="GA1242" s="8"/>
      <c r="GB1242" s="8"/>
      <c r="GC1242" s="8"/>
      <c r="GD1242" s="8"/>
      <c r="GE1242" s="8"/>
      <c r="GF1242" s="8"/>
      <c r="GG1242" s="8"/>
      <c r="GH1242" s="8"/>
      <c r="GI1242" s="8"/>
      <c r="GJ1242" s="8"/>
      <c r="GK1242" s="8"/>
      <c r="GL1242" s="8"/>
      <c r="GM1242" s="8"/>
      <c r="GN1242" s="8"/>
      <c r="GO1242" s="8"/>
      <c r="GP1242" s="8"/>
      <c r="GQ1242" s="8"/>
      <c r="GR1242" s="8"/>
      <c r="GS1242" s="8"/>
      <c r="GT1242" s="8"/>
      <c r="GU1242" s="8"/>
      <c r="GV1242" s="8"/>
      <c r="GW1242" s="8"/>
      <c r="GX1242" s="8"/>
      <c r="GY1242" s="8"/>
      <c r="GZ1242" s="8"/>
      <c r="HA1242" s="8"/>
      <c r="HB1242" s="8"/>
      <c r="HC1242" s="8"/>
      <c r="HD1242" s="8"/>
      <c r="HE1242" s="8"/>
      <c r="HF1242" s="8"/>
      <c r="HG1242" s="8"/>
      <c r="HH1242" s="8"/>
      <c r="HI1242" s="8"/>
      <c r="HJ1242" s="8"/>
      <c r="HK1242" s="8"/>
      <c r="HL1242" s="8"/>
      <c r="HM1242" s="8"/>
      <c r="HN1242" s="8"/>
      <c r="HO1242" s="8"/>
      <c r="HP1242" s="8"/>
      <c r="HQ1242" s="8"/>
      <c r="HR1242" s="8"/>
      <c r="HS1242" s="8"/>
      <c r="HT1242" s="8"/>
      <c r="HU1242" s="8"/>
      <c r="HV1242" s="8"/>
      <c r="HW1242" s="8"/>
      <c r="HX1242" s="8"/>
      <c r="HY1242" s="8"/>
      <c r="HZ1242" s="8"/>
      <c r="IA1242" s="8"/>
      <c r="IB1242" s="8"/>
      <c r="IC1242" s="8"/>
      <c r="ID1242" s="8"/>
      <c r="IE1242" s="8"/>
      <c r="IF1242" s="8"/>
    </row>
    <row r="1243" spans="1:240" ht="30" customHeight="1">
      <c r="A1243" s="5">
        <v>1241</v>
      </c>
      <c r="B1243" s="5"/>
      <c r="C1243" s="5"/>
      <c r="D1243" s="5" t="s">
        <v>68</v>
      </c>
      <c r="E1243" s="5">
        <v>1755</v>
      </c>
      <c r="F1243" s="5">
        <v>2680</v>
      </c>
      <c r="G1243" s="5">
        <v>3670</v>
      </c>
      <c r="H1243" s="5">
        <v>2050</v>
      </c>
      <c r="I1243" s="5" t="s">
        <v>13</v>
      </c>
      <c r="J1243" s="5">
        <f>1300/1000*60</f>
        <v>78</v>
      </c>
      <c r="K1243" s="17">
        <f t="shared" si="36"/>
        <v>5</v>
      </c>
      <c r="L1243" s="24">
        <v>450.25125851746401</v>
      </c>
      <c r="M1243" s="5">
        <f t="shared" si="37"/>
        <v>5</v>
      </c>
      <c r="N1243" s="5"/>
      <c r="O1243" s="5">
        <f>700*60</f>
        <v>42000</v>
      </c>
      <c r="P1243" s="5"/>
      <c r="Q1243" s="5"/>
      <c r="R1243" s="5">
        <v>1</v>
      </c>
      <c r="S1243" s="5">
        <v>1300</v>
      </c>
      <c r="T1243" s="5"/>
      <c r="U1243" s="5"/>
      <c r="V1243" s="15">
        <f>0.7457*2*R1243</f>
        <v>1.4914000000000001</v>
      </c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8"/>
      <c r="AP1243" s="8"/>
      <c r="AQ1243" s="8"/>
      <c r="AR1243" s="8"/>
      <c r="AS1243" s="8"/>
      <c r="AT1243" s="8"/>
      <c r="AU1243" s="8"/>
      <c r="AV1243" s="8"/>
      <c r="AW1243" s="8"/>
      <c r="AX1243" s="8"/>
      <c r="AY1243" s="8"/>
      <c r="AZ1243" s="8"/>
      <c r="BA1243" s="8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8"/>
      <c r="BS1243" s="8"/>
      <c r="BT1243" s="8"/>
      <c r="BU1243" s="8"/>
      <c r="BV1243" s="8"/>
      <c r="BW1243" s="8"/>
      <c r="BX1243" s="8"/>
      <c r="BY1243" s="8"/>
      <c r="BZ1243" s="8"/>
      <c r="CA1243" s="8"/>
      <c r="CB1243" s="8"/>
      <c r="CC1243" s="8"/>
      <c r="CD1243" s="8"/>
      <c r="CE1243" s="8"/>
      <c r="CF1243" s="8"/>
      <c r="CG1243" s="8"/>
      <c r="CH1243" s="8"/>
      <c r="CI1243" s="8"/>
      <c r="CJ1243" s="8"/>
      <c r="CK1243" s="8"/>
      <c r="CL1243" s="8"/>
      <c r="CM1243" s="8"/>
      <c r="CN1243" s="8"/>
      <c r="CO1243" s="8"/>
      <c r="CP1243" s="8"/>
      <c r="CQ1243" s="8"/>
      <c r="CR1243" s="8"/>
      <c r="CS1243" s="8"/>
      <c r="CT1243" s="8"/>
      <c r="CU1243" s="8"/>
      <c r="CV1243" s="8"/>
      <c r="CW1243" s="8"/>
      <c r="CX1243" s="8"/>
      <c r="CY1243" s="8"/>
      <c r="CZ1243" s="8"/>
      <c r="DA1243" s="8"/>
      <c r="DB1243" s="8"/>
      <c r="DC1243" s="8"/>
      <c r="DD1243" s="8"/>
      <c r="DE1243" s="8"/>
      <c r="DF1243" s="8"/>
      <c r="DG1243" s="8"/>
      <c r="DH1243" s="8"/>
      <c r="DI1243" s="8"/>
      <c r="DJ1243" s="8"/>
      <c r="DK1243" s="8"/>
      <c r="DL1243" s="8"/>
      <c r="DM1243" s="8"/>
      <c r="DN1243" s="8"/>
      <c r="DO1243" s="8"/>
      <c r="DP1243" s="8"/>
      <c r="DQ1243" s="8"/>
      <c r="DR1243" s="8"/>
      <c r="DS1243" s="8"/>
      <c r="DT1243" s="8"/>
      <c r="DU1243" s="8"/>
      <c r="DV1243" s="8"/>
      <c r="DW1243" s="8"/>
      <c r="DX1243" s="8"/>
      <c r="DY1243" s="8"/>
      <c r="DZ1243" s="8"/>
      <c r="EA1243" s="8"/>
      <c r="EB1243" s="8"/>
      <c r="EC1243" s="8"/>
      <c r="ED1243" s="8"/>
      <c r="EE1243" s="8"/>
      <c r="EF1243" s="8"/>
      <c r="EG1243" s="8"/>
      <c r="EH1243" s="8"/>
      <c r="EI1243" s="8"/>
      <c r="EJ1243" s="8"/>
      <c r="EK1243" s="8"/>
      <c r="EL1243" s="8"/>
      <c r="EM1243" s="8"/>
      <c r="EN1243" s="8"/>
      <c r="EO1243" s="8"/>
      <c r="EP1243" s="8"/>
      <c r="EQ1243" s="8"/>
      <c r="ER1243" s="8"/>
      <c r="ES1243" s="8"/>
      <c r="ET1243" s="8"/>
      <c r="EU1243" s="8"/>
      <c r="EV1243" s="8"/>
      <c r="EW1243" s="8"/>
      <c r="EX1243" s="8"/>
      <c r="EY1243" s="8"/>
      <c r="EZ1243" s="8"/>
      <c r="FA1243" s="8"/>
      <c r="FB1243" s="8"/>
      <c r="FC1243" s="8"/>
      <c r="FD1243" s="8"/>
      <c r="FE1243" s="8"/>
      <c r="FF1243" s="8"/>
      <c r="FG1243" s="8"/>
      <c r="FH1243" s="8"/>
      <c r="FI1243" s="8"/>
      <c r="FJ1243" s="8"/>
      <c r="FK1243" s="8"/>
      <c r="FL1243" s="8"/>
      <c r="FM1243" s="8"/>
      <c r="FN1243" s="8"/>
      <c r="FO1243" s="8"/>
      <c r="FP1243" s="8"/>
      <c r="FQ1243" s="8"/>
      <c r="FR1243" s="8"/>
      <c r="FS1243" s="8"/>
      <c r="FT1243" s="8"/>
      <c r="FU1243" s="8"/>
      <c r="FV1243" s="8"/>
      <c r="FW1243" s="8"/>
      <c r="FX1243" s="8"/>
      <c r="FY1243" s="8"/>
      <c r="FZ1243" s="8"/>
      <c r="GA1243" s="8"/>
      <c r="GB1243" s="8"/>
      <c r="GC1243" s="8"/>
      <c r="GD1243" s="8"/>
      <c r="GE1243" s="8"/>
      <c r="GF1243" s="8"/>
      <c r="GG1243" s="8"/>
      <c r="GH1243" s="8"/>
      <c r="GI1243" s="8"/>
      <c r="GJ1243" s="8"/>
      <c r="GK1243" s="8"/>
      <c r="GL1243" s="8"/>
      <c r="GM1243" s="8"/>
      <c r="GN1243" s="8"/>
      <c r="GO1243" s="8"/>
      <c r="GP1243" s="8"/>
      <c r="GQ1243" s="8"/>
      <c r="GR1243" s="8"/>
      <c r="GS1243" s="8"/>
      <c r="GT1243" s="8"/>
      <c r="GU1243" s="8"/>
      <c r="GV1243" s="8"/>
      <c r="GW1243" s="8"/>
      <c r="GX1243" s="8"/>
      <c r="GY1243" s="8"/>
      <c r="GZ1243" s="8"/>
      <c r="HA1243" s="8"/>
      <c r="HB1243" s="8"/>
      <c r="HC1243" s="8"/>
      <c r="HD1243" s="8"/>
      <c r="HE1243" s="8"/>
      <c r="HF1243" s="8"/>
      <c r="HG1243" s="8"/>
      <c r="HH1243" s="8"/>
      <c r="HI1243" s="8"/>
      <c r="HJ1243" s="8"/>
      <c r="HK1243" s="8"/>
      <c r="HL1243" s="8"/>
      <c r="HM1243" s="8"/>
      <c r="HN1243" s="8"/>
      <c r="HO1243" s="8"/>
      <c r="HP1243" s="8"/>
      <c r="HQ1243" s="8"/>
      <c r="HR1243" s="8"/>
      <c r="HS1243" s="8"/>
      <c r="HT1243" s="8"/>
      <c r="HU1243" s="8"/>
      <c r="HV1243" s="8"/>
      <c r="HW1243" s="8"/>
      <c r="HX1243" s="8"/>
      <c r="HY1243" s="8"/>
      <c r="HZ1243" s="8"/>
      <c r="IA1243" s="8"/>
      <c r="IB1243" s="8"/>
      <c r="IC1243" s="8"/>
      <c r="ID1243" s="8"/>
      <c r="IE1243" s="8"/>
      <c r="IF1243" s="8"/>
    </row>
    <row r="1244" spans="1:240" ht="30" customHeight="1">
      <c r="A1244" s="5">
        <v>1242</v>
      </c>
      <c r="B1244" s="5"/>
      <c r="C1244" s="5"/>
      <c r="D1244" s="5" t="s">
        <v>68</v>
      </c>
      <c r="E1244" s="5">
        <v>1955</v>
      </c>
      <c r="F1244" s="5">
        <v>2880</v>
      </c>
      <c r="G1244" s="5">
        <v>3660</v>
      </c>
      <c r="H1244" s="5">
        <v>2220</v>
      </c>
      <c r="I1244" s="5" t="s">
        <v>13</v>
      </c>
      <c r="J1244" s="5">
        <f>1625/1000*60</f>
        <v>97.5</v>
      </c>
      <c r="K1244" s="17">
        <f t="shared" si="36"/>
        <v>5</v>
      </c>
      <c r="L1244" s="24">
        <v>562.81407314682997</v>
      </c>
      <c r="M1244" s="5">
        <f t="shared" si="37"/>
        <v>5</v>
      </c>
      <c r="N1244" s="5"/>
      <c r="O1244" s="5">
        <f>840*60</f>
        <v>50400</v>
      </c>
      <c r="P1244" s="5"/>
      <c r="Q1244" s="5"/>
      <c r="R1244" s="5">
        <v>1</v>
      </c>
      <c r="S1244" s="5">
        <v>1500</v>
      </c>
      <c r="T1244" s="5"/>
      <c r="U1244" s="5"/>
      <c r="V1244" s="15">
        <f>0.7457*5*R1244</f>
        <v>3.7285000000000004</v>
      </c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8"/>
      <c r="AP1244" s="8"/>
      <c r="AQ1244" s="8"/>
      <c r="AR1244" s="8"/>
      <c r="AS1244" s="8"/>
      <c r="AT1244" s="8"/>
      <c r="AU1244" s="8"/>
      <c r="AV1244" s="8"/>
      <c r="AW1244" s="8"/>
      <c r="AX1244" s="8"/>
      <c r="AY1244" s="8"/>
      <c r="AZ1244" s="8"/>
      <c r="BA1244" s="8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8"/>
      <c r="BS1244" s="8"/>
      <c r="BT1244" s="8"/>
      <c r="BU1244" s="8"/>
      <c r="BV1244" s="8"/>
      <c r="BW1244" s="8"/>
      <c r="BX1244" s="8"/>
      <c r="BY1244" s="8"/>
      <c r="BZ1244" s="8"/>
      <c r="CA1244" s="8"/>
      <c r="CB1244" s="8"/>
      <c r="CC1244" s="8"/>
      <c r="CD1244" s="8"/>
      <c r="CE1244" s="8"/>
      <c r="CF1244" s="8"/>
      <c r="CG1244" s="8"/>
      <c r="CH1244" s="8"/>
      <c r="CI1244" s="8"/>
      <c r="CJ1244" s="8"/>
      <c r="CK1244" s="8"/>
      <c r="CL1244" s="8"/>
      <c r="CM1244" s="8"/>
      <c r="CN1244" s="8"/>
      <c r="CO1244" s="8"/>
      <c r="CP1244" s="8"/>
      <c r="CQ1244" s="8"/>
      <c r="CR1244" s="8"/>
      <c r="CS1244" s="8"/>
      <c r="CT1244" s="8"/>
      <c r="CU1244" s="8"/>
      <c r="CV1244" s="8"/>
      <c r="CW1244" s="8"/>
      <c r="CX1244" s="8"/>
      <c r="CY1244" s="8"/>
      <c r="CZ1244" s="8"/>
      <c r="DA1244" s="8"/>
      <c r="DB1244" s="8"/>
      <c r="DC1244" s="8"/>
      <c r="DD1244" s="8"/>
      <c r="DE1244" s="8"/>
      <c r="DF1244" s="8"/>
      <c r="DG1244" s="8"/>
      <c r="DH1244" s="8"/>
      <c r="DI1244" s="8"/>
      <c r="DJ1244" s="8"/>
      <c r="DK1244" s="8"/>
      <c r="DL1244" s="8"/>
      <c r="DM1244" s="8"/>
      <c r="DN1244" s="8"/>
      <c r="DO1244" s="8"/>
      <c r="DP1244" s="8"/>
      <c r="DQ1244" s="8"/>
      <c r="DR1244" s="8"/>
      <c r="DS1244" s="8"/>
      <c r="DT1244" s="8"/>
      <c r="DU1244" s="8"/>
      <c r="DV1244" s="8"/>
      <c r="DW1244" s="8"/>
      <c r="DX1244" s="8"/>
      <c r="DY1244" s="8"/>
      <c r="DZ1244" s="8"/>
      <c r="EA1244" s="8"/>
      <c r="EB1244" s="8"/>
      <c r="EC1244" s="8"/>
      <c r="ED1244" s="8"/>
      <c r="EE1244" s="8"/>
      <c r="EF1244" s="8"/>
      <c r="EG1244" s="8"/>
      <c r="EH1244" s="8"/>
      <c r="EI1244" s="8"/>
      <c r="EJ1244" s="8"/>
      <c r="EK1244" s="8"/>
      <c r="EL1244" s="8"/>
      <c r="EM1244" s="8"/>
      <c r="EN1244" s="8"/>
      <c r="EO1244" s="8"/>
      <c r="EP1244" s="8"/>
      <c r="EQ1244" s="8"/>
      <c r="ER1244" s="8"/>
      <c r="ES1244" s="8"/>
      <c r="ET1244" s="8"/>
      <c r="EU1244" s="8"/>
      <c r="EV1244" s="8"/>
      <c r="EW1244" s="8"/>
      <c r="EX1244" s="8"/>
      <c r="EY1244" s="8"/>
      <c r="EZ1244" s="8"/>
      <c r="FA1244" s="8"/>
      <c r="FB1244" s="8"/>
      <c r="FC1244" s="8"/>
      <c r="FD1244" s="8"/>
      <c r="FE1244" s="8"/>
      <c r="FF1244" s="8"/>
      <c r="FG1244" s="8"/>
      <c r="FH1244" s="8"/>
      <c r="FI1244" s="8"/>
      <c r="FJ1244" s="8"/>
      <c r="FK1244" s="8"/>
      <c r="FL1244" s="8"/>
      <c r="FM1244" s="8"/>
      <c r="FN1244" s="8"/>
      <c r="FO1244" s="8"/>
      <c r="FP1244" s="8"/>
      <c r="FQ1244" s="8"/>
      <c r="FR1244" s="8"/>
      <c r="FS1244" s="8"/>
      <c r="FT1244" s="8"/>
      <c r="FU1244" s="8"/>
      <c r="FV1244" s="8"/>
      <c r="FW1244" s="8"/>
      <c r="FX1244" s="8"/>
      <c r="FY1244" s="8"/>
      <c r="FZ1244" s="8"/>
      <c r="GA1244" s="8"/>
      <c r="GB1244" s="8"/>
      <c r="GC1244" s="8"/>
      <c r="GD1244" s="8"/>
      <c r="GE1244" s="8"/>
      <c r="GF1244" s="8"/>
      <c r="GG1244" s="8"/>
      <c r="GH1244" s="8"/>
      <c r="GI1244" s="8"/>
      <c r="GJ1244" s="8"/>
      <c r="GK1244" s="8"/>
      <c r="GL1244" s="8"/>
      <c r="GM1244" s="8"/>
      <c r="GN1244" s="8"/>
      <c r="GO1244" s="8"/>
      <c r="GP1244" s="8"/>
      <c r="GQ1244" s="8"/>
      <c r="GR1244" s="8"/>
      <c r="GS1244" s="8"/>
      <c r="GT1244" s="8"/>
      <c r="GU1244" s="8"/>
      <c r="GV1244" s="8"/>
      <c r="GW1244" s="8"/>
      <c r="GX1244" s="8"/>
      <c r="GY1244" s="8"/>
      <c r="GZ1244" s="8"/>
      <c r="HA1244" s="8"/>
      <c r="HB1244" s="8"/>
      <c r="HC1244" s="8"/>
      <c r="HD1244" s="8"/>
      <c r="HE1244" s="8"/>
      <c r="HF1244" s="8"/>
      <c r="HG1244" s="8"/>
      <c r="HH1244" s="8"/>
      <c r="HI1244" s="8"/>
      <c r="HJ1244" s="8"/>
      <c r="HK1244" s="8"/>
      <c r="HL1244" s="8"/>
      <c r="HM1244" s="8"/>
      <c r="HN1244" s="8"/>
      <c r="HO1244" s="8"/>
      <c r="HP1244" s="8"/>
      <c r="HQ1244" s="8"/>
      <c r="HR1244" s="8"/>
      <c r="HS1244" s="8"/>
      <c r="HT1244" s="8"/>
      <c r="HU1244" s="8"/>
      <c r="HV1244" s="8"/>
      <c r="HW1244" s="8"/>
      <c r="HX1244" s="8"/>
      <c r="HY1244" s="8"/>
      <c r="HZ1244" s="8"/>
      <c r="IA1244" s="8"/>
      <c r="IB1244" s="8"/>
      <c r="IC1244" s="8"/>
      <c r="ID1244" s="8"/>
      <c r="IE1244" s="8"/>
      <c r="IF1244" s="8"/>
    </row>
    <row r="1245" spans="1:240" ht="30" customHeight="1">
      <c r="A1245" s="5">
        <v>1243</v>
      </c>
      <c r="B1245" s="5"/>
      <c r="C1245" s="5"/>
      <c r="D1245" s="5" t="s">
        <v>68</v>
      </c>
      <c r="E1245" s="5">
        <v>2155</v>
      </c>
      <c r="F1245" s="5">
        <v>2880</v>
      </c>
      <c r="G1245" s="5">
        <v>3710</v>
      </c>
      <c r="H1245" s="5">
        <v>2320</v>
      </c>
      <c r="I1245" s="5" t="s">
        <v>13</v>
      </c>
      <c r="J1245" s="5">
        <f>1950/1000*60</f>
        <v>117</v>
      </c>
      <c r="K1245" s="17">
        <f t="shared" si="36"/>
        <v>5</v>
      </c>
      <c r="L1245" s="24">
        <v>675.37688777619587</v>
      </c>
      <c r="M1245" s="5">
        <f t="shared" si="37"/>
        <v>5</v>
      </c>
      <c r="N1245" s="5"/>
      <c r="O1245" s="5">
        <f>995*60</f>
        <v>59700</v>
      </c>
      <c r="P1245" s="5"/>
      <c r="Q1245" s="5"/>
      <c r="R1245" s="5">
        <v>1</v>
      </c>
      <c r="S1245" s="5">
        <v>1500</v>
      </c>
      <c r="T1245" s="5"/>
      <c r="U1245" s="5"/>
      <c r="V1245" s="15">
        <f>0.7457*5*R1245</f>
        <v>3.7285000000000004</v>
      </c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8"/>
      <c r="AP1245" s="8"/>
      <c r="AQ1245" s="8"/>
      <c r="AR1245" s="8"/>
      <c r="AS1245" s="8"/>
      <c r="AT1245" s="8"/>
      <c r="AU1245" s="8"/>
      <c r="AV1245" s="8"/>
      <c r="AW1245" s="8"/>
      <c r="AX1245" s="8"/>
      <c r="AY1245" s="8"/>
      <c r="AZ1245" s="8"/>
      <c r="BA1245" s="8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8"/>
      <c r="BS1245" s="8"/>
      <c r="BT1245" s="8"/>
      <c r="BU1245" s="8"/>
      <c r="BV1245" s="8"/>
      <c r="BW1245" s="8"/>
      <c r="BX1245" s="8"/>
      <c r="BY1245" s="8"/>
      <c r="BZ1245" s="8"/>
      <c r="CA1245" s="8"/>
      <c r="CB1245" s="8"/>
      <c r="CC1245" s="8"/>
      <c r="CD1245" s="8"/>
      <c r="CE1245" s="8"/>
      <c r="CF1245" s="8"/>
      <c r="CG1245" s="8"/>
      <c r="CH1245" s="8"/>
      <c r="CI1245" s="8"/>
      <c r="CJ1245" s="8"/>
      <c r="CK1245" s="8"/>
      <c r="CL1245" s="8"/>
      <c r="CM1245" s="8"/>
      <c r="CN1245" s="8"/>
      <c r="CO1245" s="8"/>
      <c r="CP1245" s="8"/>
      <c r="CQ1245" s="8"/>
      <c r="CR1245" s="8"/>
      <c r="CS1245" s="8"/>
      <c r="CT1245" s="8"/>
      <c r="CU1245" s="8"/>
      <c r="CV1245" s="8"/>
      <c r="CW1245" s="8"/>
      <c r="CX1245" s="8"/>
      <c r="CY1245" s="8"/>
      <c r="CZ1245" s="8"/>
      <c r="DA1245" s="8"/>
      <c r="DB1245" s="8"/>
      <c r="DC1245" s="8"/>
      <c r="DD1245" s="8"/>
      <c r="DE1245" s="8"/>
      <c r="DF1245" s="8"/>
      <c r="DG1245" s="8"/>
      <c r="DH1245" s="8"/>
      <c r="DI1245" s="8"/>
      <c r="DJ1245" s="8"/>
      <c r="DK1245" s="8"/>
      <c r="DL1245" s="8"/>
      <c r="DM1245" s="8"/>
      <c r="DN1245" s="8"/>
      <c r="DO1245" s="8"/>
      <c r="DP1245" s="8"/>
      <c r="DQ1245" s="8"/>
      <c r="DR1245" s="8"/>
      <c r="DS1245" s="8"/>
      <c r="DT1245" s="8"/>
      <c r="DU1245" s="8"/>
      <c r="DV1245" s="8"/>
      <c r="DW1245" s="8"/>
      <c r="DX1245" s="8"/>
      <c r="DY1245" s="8"/>
      <c r="DZ1245" s="8"/>
      <c r="EA1245" s="8"/>
      <c r="EB1245" s="8"/>
      <c r="EC1245" s="8"/>
      <c r="ED1245" s="8"/>
      <c r="EE1245" s="8"/>
      <c r="EF1245" s="8"/>
      <c r="EG1245" s="8"/>
      <c r="EH1245" s="8"/>
      <c r="EI1245" s="8"/>
      <c r="EJ1245" s="8"/>
      <c r="EK1245" s="8"/>
      <c r="EL1245" s="8"/>
      <c r="EM1245" s="8"/>
      <c r="EN1245" s="8"/>
      <c r="EO1245" s="8"/>
      <c r="EP1245" s="8"/>
      <c r="EQ1245" s="8"/>
      <c r="ER1245" s="8"/>
      <c r="ES1245" s="8"/>
      <c r="ET1245" s="8"/>
      <c r="EU1245" s="8"/>
      <c r="EV1245" s="8"/>
      <c r="EW1245" s="8"/>
      <c r="EX1245" s="8"/>
      <c r="EY1245" s="8"/>
      <c r="EZ1245" s="8"/>
      <c r="FA1245" s="8"/>
      <c r="FB1245" s="8"/>
      <c r="FC1245" s="8"/>
      <c r="FD1245" s="8"/>
      <c r="FE1245" s="8"/>
      <c r="FF1245" s="8"/>
      <c r="FG1245" s="8"/>
      <c r="FH1245" s="8"/>
      <c r="FI1245" s="8"/>
      <c r="FJ1245" s="8"/>
      <c r="FK1245" s="8"/>
      <c r="FL1245" s="8"/>
      <c r="FM1245" s="8"/>
      <c r="FN1245" s="8"/>
      <c r="FO1245" s="8"/>
      <c r="FP1245" s="8"/>
      <c r="FQ1245" s="8"/>
      <c r="FR1245" s="8"/>
      <c r="FS1245" s="8"/>
      <c r="FT1245" s="8"/>
      <c r="FU1245" s="8"/>
      <c r="FV1245" s="8"/>
      <c r="FW1245" s="8"/>
      <c r="FX1245" s="8"/>
      <c r="FY1245" s="8"/>
      <c r="FZ1245" s="8"/>
      <c r="GA1245" s="8"/>
      <c r="GB1245" s="8"/>
      <c r="GC1245" s="8"/>
      <c r="GD1245" s="8"/>
      <c r="GE1245" s="8"/>
      <c r="GF1245" s="8"/>
      <c r="GG1245" s="8"/>
      <c r="GH1245" s="8"/>
      <c r="GI1245" s="8"/>
      <c r="GJ1245" s="8"/>
      <c r="GK1245" s="8"/>
      <c r="GL1245" s="8"/>
      <c r="GM1245" s="8"/>
      <c r="GN1245" s="8"/>
      <c r="GO1245" s="8"/>
      <c r="GP1245" s="8"/>
      <c r="GQ1245" s="8"/>
      <c r="GR1245" s="8"/>
      <c r="GS1245" s="8"/>
      <c r="GT1245" s="8"/>
      <c r="GU1245" s="8"/>
      <c r="GV1245" s="8"/>
      <c r="GW1245" s="8"/>
      <c r="GX1245" s="8"/>
      <c r="GY1245" s="8"/>
      <c r="GZ1245" s="8"/>
      <c r="HA1245" s="8"/>
      <c r="HB1245" s="8"/>
      <c r="HC1245" s="8"/>
      <c r="HD1245" s="8"/>
      <c r="HE1245" s="8"/>
      <c r="HF1245" s="8"/>
      <c r="HG1245" s="8"/>
      <c r="HH1245" s="8"/>
      <c r="HI1245" s="8"/>
      <c r="HJ1245" s="8"/>
      <c r="HK1245" s="8"/>
      <c r="HL1245" s="8"/>
      <c r="HM1245" s="8"/>
      <c r="HN1245" s="8"/>
      <c r="HO1245" s="8"/>
      <c r="HP1245" s="8"/>
      <c r="HQ1245" s="8"/>
      <c r="HR1245" s="8"/>
      <c r="HS1245" s="8"/>
      <c r="HT1245" s="8"/>
      <c r="HU1245" s="8"/>
      <c r="HV1245" s="8"/>
      <c r="HW1245" s="8"/>
      <c r="HX1245" s="8"/>
      <c r="HY1245" s="8"/>
      <c r="HZ1245" s="8"/>
      <c r="IA1245" s="8"/>
      <c r="IB1245" s="8"/>
      <c r="IC1245" s="8"/>
      <c r="ID1245" s="8"/>
      <c r="IE1245" s="8"/>
      <c r="IF1245" s="8"/>
    </row>
    <row r="1246" spans="1:240" ht="30" customHeight="1">
      <c r="A1246" s="5">
        <v>1244</v>
      </c>
      <c r="B1246" s="5"/>
      <c r="C1246" s="5"/>
      <c r="D1246" s="5" t="s">
        <v>68</v>
      </c>
      <c r="E1246" s="5">
        <v>2360</v>
      </c>
      <c r="F1246" s="5">
        <v>3080</v>
      </c>
      <c r="G1246" s="5">
        <v>3710</v>
      </c>
      <c r="H1246" s="5">
        <v>2670</v>
      </c>
      <c r="I1246" s="5" t="s">
        <v>13</v>
      </c>
      <c r="J1246" s="5">
        <f>2275/1000*60</f>
        <v>136.5</v>
      </c>
      <c r="K1246" s="17">
        <f t="shared" si="36"/>
        <v>5</v>
      </c>
      <c r="L1246" s="24">
        <v>787.93970240556189</v>
      </c>
      <c r="M1246" s="5">
        <f t="shared" si="37"/>
        <v>5</v>
      </c>
      <c r="N1246" s="5"/>
      <c r="O1246" s="5">
        <f>1135*60</f>
        <v>68100</v>
      </c>
      <c r="P1246" s="5"/>
      <c r="Q1246" s="5"/>
      <c r="R1246" s="5">
        <v>1</v>
      </c>
      <c r="S1246" s="5">
        <v>1700</v>
      </c>
      <c r="T1246" s="5"/>
      <c r="U1246" s="5"/>
      <c r="V1246" s="15">
        <f>0.7457*7.5*R1246</f>
        <v>5.5927500000000006</v>
      </c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8"/>
      <c r="AP1246" s="8"/>
      <c r="AQ1246" s="8"/>
      <c r="AR1246" s="8"/>
      <c r="AS1246" s="8"/>
      <c r="AT1246" s="8"/>
      <c r="AU1246" s="8"/>
      <c r="AV1246" s="8"/>
      <c r="AW1246" s="8"/>
      <c r="AX1246" s="8"/>
      <c r="AY1246" s="8"/>
      <c r="AZ1246" s="8"/>
      <c r="BA1246" s="8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8"/>
      <c r="BS1246" s="8"/>
      <c r="BT1246" s="8"/>
      <c r="BU1246" s="8"/>
      <c r="BV1246" s="8"/>
      <c r="BW1246" s="8"/>
      <c r="BX1246" s="8"/>
      <c r="BY1246" s="8"/>
      <c r="BZ1246" s="8"/>
      <c r="CA1246" s="8"/>
      <c r="CB1246" s="8"/>
      <c r="CC1246" s="8"/>
      <c r="CD1246" s="8"/>
      <c r="CE1246" s="8"/>
      <c r="CF1246" s="8"/>
      <c r="CG1246" s="8"/>
      <c r="CH1246" s="8"/>
      <c r="CI1246" s="8"/>
      <c r="CJ1246" s="8"/>
      <c r="CK1246" s="8"/>
      <c r="CL1246" s="8"/>
      <c r="CM1246" s="8"/>
      <c r="CN1246" s="8"/>
      <c r="CO1246" s="8"/>
      <c r="CP1246" s="8"/>
      <c r="CQ1246" s="8"/>
      <c r="CR1246" s="8"/>
      <c r="CS1246" s="8"/>
      <c r="CT1246" s="8"/>
      <c r="CU1246" s="8"/>
      <c r="CV1246" s="8"/>
      <c r="CW1246" s="8"/>
      <c r="CX1246" s="8"/>
      <c r="CY1246" s="8"/>
      <c r="CZ1246" s="8"/>
      <c r="DA1246" s="8"/>
      <c r="DB1246" s="8"/>
      <c r="DC1246" s="8"/>
      <c r="DD1246" s="8"/>
      <c r="DE1246" s="8"/>
      <c r="DF1246" s="8"/>
      <c r="DG1246" s="8"/>
      <c r="DH1246" s="8"/>
      <c r="DI1246" s="8"/>
      <c r="DJ1246" s="8"/>
      <c r="DK1246" s="8"/>
      <c r="DL1246" s="8"/>
      <c r="DM1246" s="8"/>
      <c r="DN1246" s="8"/>
      <c r="DO1246" s="8"/>
      <c r="DP1246" s="8"/>
      <c r="DQ1246" s="8"/>
      <c r="DR1246" s="8"/>
      <c r="DS1246" s="8"/>
      <c r="DT1246" s="8"/>
      <c r="DU1246" s="8"/>
      <c r="DV1246" s="8"/>
      <c r="DW1246" s="8"/>
      <c r="DX1246" s="8"/>
      <c r="DY1246" s="8"/>
      <c r="DZ1246" s="8"/>
      <c r="EA1246" s="8"/>
      <c r="EB1246" s="8"/>
      <c r="EC1246" s="8"/>
      <c r="ED1246" s="8"/>
      <c r="EE1246" s="8"/>
      <c r="EF1246" s="8"/>
      <c r="EG1246" s="8"/>
      <c r="EH1246" s="8"/>
      <c r="EI1246" s="8"/>
      <c r="EJ1246" s="8"/>
      <c r="EK1246" s="8"/>
      <c r="EL1246" s="8"/>
      <c r="EM1246" s="8"/>
      <c r="EN1246" s="8"/>
      <c r="EO1246" s="8"/>
      <c r="EP1246" s="8"/>
      <c r="EQ1246" s="8"/>
      <c r="ER1246" s="8"/>
      <c r="ES1246" s="8"/>
      <c r="ET1246" s="8"/>
      <c r="EU1246" s="8"/>
      <c r="EV1246" s="8"/>
      <c r="EW1246" s="8"/>
      <c r="EX1246" s="8"/>
      <c r="EY1246" s="8"/>
      <c r="EZ1246" s="8"/>
      <c r="FA1246" s="8"/>
      <c r="FB1246" s="8"/>
      <c r="FC1246" s="8"/>
      <c r="FD1246" s="8"/>
      <c r="FE1246" s="8"/>
      <c r="FF1246" s="8"/>
      <c r="FG1246" s="8"/>
      <c r="FH1246" s="8"/>
      <c r="FI1246" s="8"/>
      <c r="FJ1246" s="8"/>
      <c r="FK1246" s="8"/>
      <c r="FL1246" s="8"/>
      <c r="FM1246" s="8"/>
      <c r="FN1246" s="8"/>
      <c r="FO1246" s="8"/>
      <c r="FP1246" s="8"/>
      <c r="FQ1246" s="8"/>
      <c r="FR1246" s="8"/>
      <c r="FS1246" s="8"/>
      <c r="FT1246" s="8"/>
      <c r="FU1246" s="8"/>
      <c r="FV1246" s="8"/>
      <c r="FW1246" s="8"/>
      <c r="FX1246" s="8"/>
      <c r="FY1246" s="8"/>
      <c r="FZ1246" s="8"/>
      <c r="GA1246" s="8"/>
      <c r="GB1246" s="8"/>
      <c r="GC1246" s="8"/>
      <c r="GD1246" s="8"/>
      <c r="GE1246" s="8"/>
      <c r="GF1246" s="8"/>
      <c r="GG1246" s="8"/>
      <c r="GH1246" s="8"/>
      <c r="GI1246" s="8"/>
      <c r="GJ1246" s="8"/>
      <c r="GK1246" s="8"/>
      <c r="GL1246" s="8"/>
      <c r="GM1246" s="8"/>
      <c r="GN1246" s="8"/>
      <c r="GO1246" s="8"/>
      <c r="GP1246" s="8"/>
      <c r="GQ1246" s="8"/>
      <c r="GR1246" s="8"/>
      <c r="GS1246" s="8"/>
      <c r="GT1246" s="8"/>
      <c r="GU1246" s="8"/>
      <c r="GV1246" s="8"/>
      <c r="GW1246" s="8"/>
      <c r="GX1246" s="8"/>
      <c r="GY1246" s="8"/>
      <c r="GZ1246" s="8"/>
      <c r="HA1246" s="8"/>
      <c r="HB1246" s="8"/>
      <c r="HC1246" s="8"/>
      <c r="HD1246" s="8"/>
      <c r="HE1246" s="8"/>
      <c r="HF1246" s="8"/>
      <c r="HG1246" s="8"/>
      <c r="HH1246" s="8"/>
      <c r="HI1246" s="8"/>
      <c r="HJ1246" s="8"/>
      <c r="HK1246" s="8"/>
      <c r="HL1246" s="8"/>
      <c r="HM1246" s="8"/>
      <c r="HN1246" s="8"/>
      <c r="HO1246" s="8"/>
      <c r="HP1246" s="8"/>
      <c r="HQ1246" s="8"/>
      <c r="HR1246" s="8"/>
      <c r="HS1246" s="8"/>
      <c r="HT1246" s="8"/>
      <c r="HU1246" s="8"/>
      <c r="HV1246" s="8"/>
      <c r="HW1246" s="8"/>
      <c r="HX1246" s="8"/>
      <c r="HY1246" s="8"/>
      <c r="HZ1246" s="8"/>
      <c r="IA1246" s="8"/>
      <c r="IB1246" s="8"/>
      <c r="IC1246" s="8"/>
      <c r="ID1246" s="8"/>
      <c r="IE1246" s="8"/>
      <c r="IF1246" s="8"/>
    </row>
    <row r="1247" spans="1:240" ht="30" customHeight="1">
      <c r="A1247" s="5">
        <v>1245</v>
      </c>
      <c r="B1247" s="5"/>
      <c r="C1247" s="5"/>
      <c r="D1247" s="5" t="s">
        <v>68</v>
      </c>
      <c r="E1247" s="5">
        <v>2560</v>
      </c>
      <c r="F1247" s="5">
        <v>3180</v>
      </c>
      <c r="G1247" s="5">
        <v>3730</v>
      </c>
      <c r="H1247" s="5">
        <v>2830</v>
      </c>
      <c r="I1247" s="5" t="s">
        <v>13</v>
      </c>
      <c r="J1247" s="5">
        <f>2600/1000*60</f>
        <v>156</v>
      </c>
      <c r="K1247" s="17">
        <f t="shared" si="36"/>
        <v>5</v>
      </c>
      <c r="L1247" s="24">
        <v>900.50251703492802</v>
      </c>
      <c r="M1247" s="5">
        <f t="shared" si="37"/>
        <v>5</v>
      </c>
      <c r="N1247" s="5"/>
      <c r="O1247" s="5">
        <f>1340*60</f>
        <v>80400</v>
      </c>
      <c r="P1247" s="5"/>
      <c r="Q1247" s="5"/>
      <c r="R1247" s="5">
        <v>1</v>
      </c>
      <c r="S1247" s="5">
        <v>1800</v>
      </c>
      <c r="T1247" s="5"/>
      <c r="U1247" s="5"/>
      <c r="V1247" s="15">
        <f>0.7457*7.5*R1247</f>
        <v>5.5927500000000006</v>
      </c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8"/>
      <c r="AP1247" s="8"/>
      <c r="AQ1247" s="8"/>
      <c r="AR1247" s="8"/>
      <c r="AS1247" s="8"/>
      <c r="AT1247" s="8"/>
      <c r="AU1247" s="8"/>
      <c r="AV1247" s="8"/>
      <c r="AW1247" s="8"/>
      <c r="AX1247" s="8"/>
      <c r="AY1247" s="8"/>
      <c r="AZ1247" s="8"/>
      <c r="BA1247" s="8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8"/>
      <c r="BS1247" s="8"/>
      <c r="BT1247" s="8"/>
      <c r="BU1247" s="8"/>
      <c r="BV1247" s="8"/>
      <c r="BW1247" s="8"/>
      <c r="BX1247" s="8"/>
      <c r="BY1247" s="8"/>
      <c r="BZ1247" s="8"/>
      <c r="CA1247" s="8"/>
      <c r="CB1247" s="8"/>
      <c r="CC1247" s="8"/>
      <c r="CD1247" s="8"/>
      <c r="CE1247" s="8"/>
      <c r="CF1247" s="8"/>
      <c r="CG1247" s="8"/>
      <c r="CH1247" s="8"/>
      <c r="CI1247" s="8"/>
      <c r="CJ1247" s="8"/>
      <c r="CK1247" s="8"/>
      <c r="CL1247" s="8"/>
      <c r="CM1247" s="8"/>
      <c r="CN1247" s="8"/>
      <c r="CO1247" s="8"/>
      <c r="CP1247" s="8"/>
      <c r="CQ1247" s="8"/>
      <c r="CR1247" s="8"/>
      <c r="CS1247" s="8"/>
      <c r="CT1247" s="8"/>
      <c r="CU1247" s="8"/>
      <c r="CV1247" s="8"/>
      <c r="CW1247" s="8"/>
      <c r="CX1247" s="8"/>
      <c r="CY1247" s="8"/>
      <c r="CZ1247" s="8"/>
      <c r="DA1247" s="8"/>
      <c r="DB1247" s="8"/>
      <c r="DC1247" s="8"/>
      <c r="DD1247" s="8"/>
      <c r="DE1247" s="8"/>
      <c r="DF1247" s="8"/>
      <c r="DG1247" s="8"/>
      <c r="DH1247" s="8"/>
      <c r="DI1247" s="8"/>
      <c r="DJ1247" s="8"/>
      <c r="DK1247" s="8"/>
      <c r="DL1247" s="8"/>
      <c r="DM1247" s="8"/>
      <c r="DN1247" s="8"/>
      <c r="DO1247" s="8"/>
      <c r="DP1247" s="8"/>
      <c r="DQ1247" s="8"/>
      <c r="DR1247" s="8"/>
      <c r="DS1247" s="8"/>
      <c r="DT1247" s="8"/>
      <c r="DU1247" s="8"/>
      <c r="DV1247" s="8"/>
      <c r="DW1247" s="8"/>
      <c r="DX1247" s="8"/>
      <c r="DY1247" s="8"/>
      <c r="DZ1247" s="8"/>
      <c r="EA1247" s="8"/>
      <c r="EB1247" s="8"/>
      <c r="EC1247" s="8"/>
      <c r="ED1247" s="8"/>
      <c r="EE1247" s="8"/>
      <c r="EF1247" s="8"/>
      <c r="EG1247" s="8"/>
      <c r="EH1247" s="8"/>
      <c r="EI1247" s="8"/>
      <c r="EJ1247" s="8"/>
      <c r="EK1247" s="8"/>
      <c r="EL1247" s="8"/>
      <c r="EM1247" s="8"/>
      <c r="EN1247" s="8"/>
      <c r="EO1247" s="8"/>
      <c r="EP1247" s="8"/>
      <c r="EQ1247" s="8"/>
      <c r="ER1247" s="8"/>
      <c r="ES1247" s="8"/>
      <c r="ET1247" s="8"/>
      <c r="EU1247" s="8"/>
      <c r="EV1247" s="8"/>
      <c r="EW1247" s="8"/>
      <c r="EX1247" s="8"/>
      <c r="EY1247" s="8"/>
      <c r="EZ1247" s="8"/>
      <c r="FA1247" s="8"/>
      <c r="FB1247" s="8"/>
      <c r="FC1247" s="8"/>
      <c r="FD1247" s="8"/>
      <c r="FE1247" s="8"/>
      <c r="FF1247" s="8"/>
      <c r="FG1247" s="8"/>
      <c r="FH1247" s="8"/>
      <c r="FI1247" s="8"/>
      <c r="FJ1247" s="8"/>
      <c r="FK1247" s="8"/>
      <c r="FL1247" s="8"/>
      <c r="FM1247" s="8"/>
      <c r="FN1247" s="8"/>
      <c r="FO1247" s="8"/>
      <c r="FP1247" s="8"/>
      <c r="FQ1247" s="8"/>
      <c r="FR1247" s="8"/>
      <c r="FS1247" s="8"/>
      <c r="FT1247" s="8"/>
      <c r="FU1247" s="8"/>
      <c r="FV1247" s="8"/>
      <c r="FW1247" s="8"/>
      <c r="FX1247" s="8"/>
      <c r="FY1247" s="8"/>
      <c r="FZ1247" s="8"/>
      <c r="GA1247" s="8"/>
      <c r="GB1247" s="8"/>
      <c r="GC1247" s="8"/>
      <c r="GD1247" s="8"/>
      <c r="GE1247" s="8"/>
      <c r="GF1247" s="8"/>
      <c r="GG1247" s="8"/>
      <c r="GH1247" s="8"/>
      <c r="GI1247" s="8"/>
      <c r="GJ1247" s="8"/>
      <c r="GK1247" s="8"/>
      <c r="GL1247" s="8"/>
      <c r="GM1247" s="8"/>
      <c r="GN1247" s="8"/>
      <c r="GO1247" s="8"/>
      <c r="GP1247" s="8"/>
      <c r="GQ1247" s="8"/>
      <c r="GR1247" s="8"/>
      <c r="GS1247" s="8"/>
      <c r="GT1247" s="8"/>
      <c r="GU1247" s="8"/>
      <c r="GV1247" s="8"/>
      <c r="GW1247" s="8"/>
      <c r="GX1247" s="8"/>
      <c r="GY1247" s="8"/>
      <c r="GZ1247" s="8"/>
      <c r="HA1247" s="8"/>
      <c r="HB1247" s="8"/>
      <c r="HC1247" s="8"/>
      <c r="HD1247" s="8"/>
      <c r="HE1247" s="8"/>
      <c r="HF1247" s="8"/>
      <c r="HG1247" s="8"/>
      <c r="HH1247" s="8"/>
      <c r="HI1247" s="8"/>
      <c r="HJ1247" s="8"/>
      <c r="HK1247" s="8"/>
      <c r="HL1247" s="8"/>
      <c r="HM1247" s="8"/>
      <c r="HN1247" s="8"/>
      <c r="HO1247" s="8"/>
      <c r="HP1247" s="8"/>
      <c r="HQ1247" s="8"/>
      <c r="HR1247" s="8"/>
      <c r="HS1247" s="8"/>
      <c r="HT1247" s="8"/>
      <c r="HU1247" s="8"/>
      <c r="HV1247" s="8"/>
      <c r="HW1247" s="8"/>
      <c r="HX1247" s="8"/>
      <c r="HY1247" s="8"/>
      <c r="HZ1247" s="8"/>
      <c r="IA1247" s="8"/>
      <c r="IB1247" s="8"/>
      <c r="IC1247" s="8"/>
      <c r="ID1247" s="8"/>
      <c r="IE1247" s="8"/>
      <c r="IF1247" s="8"/>
    </row>
    <row r="1248" spans="1:240" ht="30" customHeight="1">
      <c r="A1248" s="5">
        <v>1246</v>
      </c>
      <c r="B1248" s="5"/>
      <c r="C1248" s="5"/>
      <c r="D1248" s="5" t="s">
        <v>68</v>
      </c>
      <c r="E1248" s="5">
        <v>2660</v>
      </c>
      <c r="F1248" s="5">
        <v>3380</v>
      </c>
      <c r="G1248" s="5">
        <v>3730</v>
      </c>
      <c r="H1248" s="5">
        <v>3170</v>
      </c>
      <c r="I1248" s="5" t="s">
        <v>13</v>
      </c>
      <c r="J1248" s="5">
        <f>2925/1000*60</f>
        <v>175.5</v>
      </c>
      <c r="K1248" s="17">
        <f t="shared" si="36"/>
        <v>5</v>
      </c>
      <c r="L1248" s="24">
        <v>1013.065331664294</v>
      </c>
      <c r="M1248" s="5">
        <f t="shared" si="37"/>
        <v>5</v>
      </c>
      <c r="N1248" s="5"/>
      <c r="O1248" s="5">
        <f>1540*60</f>
        <v>92400</v>
      </c>
      <c r="P1248" s="5"/>
      <c r="Q1248" s="5"/>
      <c r="R1248" s="5">
        <v>1</v>
      </c>
      <c r="S1248" s="5">
        <v>2000</v>
      </c>
      <c r="T1248" s="5"/>
      <c r="U1248" s="5"/>
      <c r="V1248" s="15">
        <f>0.7457*7.5*R1248</f>
        <v>5.5927500000000006</v>
      </c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8"/>
      <c r="AP1248" s="8"/>
      <c r="AQ1248" s="8"/>
      <c r="AR1248" s="8"/>
      <c r="AS1248" s="8"/>
      <c r="AT1248" s="8"/>
      <c r="AU1248" s="8"/>
      <c r="AV1248" s="8"/>
      <c r="AW1248" s="8"/>
      <c r="AX1248" s="8"/>
      <c r="AY1248" s="8"/>
      <c r="AZ1248" s="8"/>
      <c r="BA1248" s="8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8"/>
      <c r="BS1248" s="8"/>
      <c r="BT1248" s="8"/>
      <c r="BU1248" s="8"/>
      <c r="BV1248" s="8"/>
      <c r="BW1248" s="8"/>
      <c r="BX1248" s="8"/>
      <c r="BY1248" s="8"/>
      <c r="BZ1248" s="8"/>
      <c r="CA1248" s="8"/>
      <c r="CB1248" s="8"/>
      <c r="CC1248" s="8"/>
      <c r="CD1248" s="8"/>
      <c r="CE1248" s="8"/>
      <c r="CF1248" s="8"/>
      <c r="CG1248" s="8"/>
      <c r="CH1248" s="8"/>
      <c r="CI1248" s="8"/>
      <c r="CJ1248" s="8"/>
      <c r="CK1248" s="8"/>
      <c r="CL1248" s="8"/>
      <c r="CM1248" s="8"/>
      <c r="CN1248" s="8"/>
      <c r="CO1248" s="8"/>
      <c r="CP1248" s="8"/>
      <c r="CQ1248" s="8"/>
      <c r="CR1248" s="8"/>
      <c r="CS1248" s="8"/>
      <c r="CT1248" s="8"/>
      <c r="CU1248" s="8"/>
      <c r="CV1248" s="8"/>
      <c r="CW1248" s="8"/>
      <c r="CX1248" s="8"/>
      <c r="CY1248" s="8"/>
      <c r="CZ1248" s="8"/>
      <c r="DA1248" s="8"/>
      <c r="DB1248" s="8"/>
      <c r="DC1248" s="8"/>
      <c r="DD1248" s="8"/>
      <c r="DE1248" s="8"/>
      <c r="DF1248" s="8"/>
      <c r="DG1248" s="8"/>
      <c r="DH1248" s="8"/>
      <c r="DI1248" s="8"/>
      <c r="DJ1248" s="8"/>
      <c r="DK1248" s="8"/>
      <c r="DL1248" s="8"/>
      <c r="DM1248" s="8"/>
      <c r="DN1248" s="8"/>
      <c r="DO1248" s="8"/>
      <c r="DP1248" s="8"/>
      <c r="DQ1248" s="8"/>
      <c r="DR1248" s="8"/>
      <c r="DS1248" s="8"/>
      <c r="DT1248" s="8"/>
      <c r="DU1248" s="8"/>
      <c r="DV1248" s="8"/>
      <c r="DW1248" s="8"/>
      <c r="DX1248" s="8"/>
      <c r="DY1248" s="8"/>
      <c r="DZ1248" s="8"/>
      <c r="EA1248" s="8"/>
      <c r="EB1248" s="8"/>
      <c r="EC1248" s="8"/>
      <c r="ED1248" s="8"/>
      <c r="EE1248" s="8"/>
      <c r="EF1248" s="8"/>
      <c r="EG1248" s="8"/>
      <c r="EH1248" s="8"/>
      <c r="EI1248" s="8"/>
      <c r="EJ1248" s="8"/>
      <c r="EK1248" s="8"/>
      <c r="EL1248" s="8"/>
      <c r="EM1248" s="8"/>
      <c r="EN1248" s="8"/>
      <c r="EO1248" s="8"/>
      <c r="EP1248" s="8"/>
      <c r="EQ1248" s="8"/>
      <c r="ER1248" s="8"/>
      <c r="ES1248" s="8"/>
      <c r="ET1248" s="8"/>
      <c r="EU1248" s="8"/>
      <c r="EV1248" s="8"/>
      <c r="EW1248" s="8"/>
      <c r="EX1248" s="8"/>
      <c r="EY1248" s="8"/>
      <c r="EZ1248" s="8"/>
      <c r="FA1248" s="8"/>
      <c r="FB1248" s="8"/>
      <c r="FC1248" s="8"/>
      <c r="FD1248" s="8"/>
      <c r="FE1248" s="8"/>
      <c r="FF1248" s="8"/>
      <c r="FG1248" s="8"/>
      <c r="FH1248" s="8"/>
      <c r="FI1248" s="8"/>
      <c r="FJ1248" s="8"/>
      <c r="FK1248" s="8"/>
      <c r="FL1248" s="8"/>
      <c r="FM1248" s="8"/>
      <c r="FN1248" s="8"/>
      <c r="FO1248" s="8"/>
      <c r="FP1248" s="8"/>
      <c r="FQ1248" s="8"/>
      <c r="FR1248" s="8"/>
      <c r="FS1248" s="8"/>
      <c r="FT1248" s="8"/>
      <c r="FU1248" s="8"/>
      <c r="FV1248" s="8"/>
      <c r="FW1248" s="8"/>
      <c r="FX1248" s="8"/>
      <c r="FY1248" s="8"/>
      <c r="FZ1248" s="8"/>
      <c r="GA1248" s="8"/>
      <c r="GB1248" s="8"/>
      <c r="GC1248" s="8"/>
      <c r="GD1248" s="8"/>
      <c r="GE1248" s="8"/>
      <c r="GF1248" s="8"/>
      <c r="GG1248" s="8"/>
      <c r="GH1248" s="8"/>
      <c r="GI1248" s="8"/>
      <c r="GJ1248" s="8"/>
      <c r="GK1248" s="8"/>
      <c r="GL1248" s="8"/>
      <c r="GM1248" s="8"/>
      <c r="GN1248" s="8"/>
      <c r="GO1248" s="8"/>
      <c r="GP1248" s="8"/>
      <c r="GQ1248" s="8"/>
      <c r="GR1248" s="8"/>
      <c r="GS1248" s="8"/>
      <c r="GT1248" s="8"/>
      <c r="GU1248" s="8"/>
      <c r="GV1248" s="8"/>
      <c r="GW1248" s="8"/>
      <c r="GX1248" s="8"/>
      <c r="GY1248" s="8"/>
      <c r="GZ1248" s="8"/>
      <c r="HA1248" s="8"/>
      <c r="HB1248" s="8"/>
      <c r="HC1248" s="8"/>
      <c r="HD1248" s="8"/>
      <c r="HE1248" s="8"/>
      <c r="HF1248" s="8"/>
      <c r="HG1248" s="8"/>
      <c r="HH1248" s="8"/>
      <c r="HI1248" s="8"/>
      <c r="HJ1248" s="8"/>
      <c r="HK1248" s="8"/>
      <c r="HL1248" s="8"/>
      <c r="HM1248" s="8"/>
      <c r="HN1248" s="8"/>
      <c r="HO1248" s="8"/>
      <c r="HP1248" s="8"/>
      <c r="HQ1248" s="8"/>
      <c r="HR1248" s="8"/>
      <c r="HS1248" s="8"/>
      <c r="HT1248" s="8"/>
      <c r="HU1248" s="8"/>
      <c r="HV1248" s="8"/>
      <c r="HW1248" s="8"/>
      <c r="HX1248" s="8"/>
      <c r="HY1248" s="8"/>
      <c r="HZ1248" s="8"/>
      <c r="IA1248" s="8"/>
      <c r="IB1248" s="8"/>
      <c r="IC1248" s="8"/>
      <c r="ID1248" s="8"/>
      <c r="IE1248" s="8"/>
      <c r="IF1248" s="8"/>
    </row>
    <row r="1249" spans="1:240" ht="30" customHeight="1">
      <c r="A1249" s="5">
        <v>1247</v>
      </c>
      <c r="B1249" s="5"/>
      <c r="C1249" s="5"/>
      <c r="D1249" s="5" t="s">
        <v>68</v>
      </c>
      <c r="E1249" s="5">
        <v>2960</v>
      </c>
      <c r="F1249" s="5">
        <v>3380</v>
      </c>
      <c r="G1249" s="5">
        <v>3730</v>
      </c>
      <c r="H1249" s="5">
        <v>3370</v>
      </c>
      <c r="I1249" s="5" t="s">
        <v>13</v>
      </c>
      <c r="J1249" s="5">
        <f>3250/1000*60</f>
        <v>195</v>
      </c>
      <c r="K1249" s="17">
        <f t="shared" si="36"/>
        <v>5</v>
      </c>
      <c r="L1249" s="24">
        <v>1125.6281462936599</v>
      </c>
      <c r="M1249" s="5">
        <f t="shared" si="37"/>
        <v>5</v>
      </c>
      <c r="N1249" s="5"/>
      <c r="O1249" s="5">
        <f>1690*60</f>
        <v>101400</v>
      </c>
      <c r="P1249" s="5"/>
      <c r="Q1249" s="5"/>
      <c r="R1249" s="5">
        <v>1</v>
      </c>
      <c r="S1249" s="5">
        <v>2000</v>
      </c>
      <c r="T1249" s="5"/>
      <c r="U1249" s="5"/>
      <c r="V1249" s="15">
        <f>0.7457*10*R1249</f>
        <v>7.4570000000000007</v>
      </c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8"/>
      <c r="AP1249" s="8"/>
      <c r="AQ1249" s="8"/>
      <c r="AR1249" s="8"/>
      <c r="AS1249" s="8"/>
      <c r="AT1249" s="8"/>
      <c r="AU1249" s="8"/>
      <c r="AV1249" s="8"/>
      <c r="AW1249" s="8"/>
      <c r="AX1249" s="8"/>
      <c r="AY1249" s="8"/>
      <c r="AZ1249" s="8"/>
      <c r="BA1249" s="8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8"/>
      <c r="BS1249" s="8"/>
      <c r="BT1249" s="8"/>
      <c r="BU1249" s="8"/>
      <c r="BV1249" s="8"/>
      <c r="BW1249" s="8"/>
      <c r="BX1249" s="8"/>
      <c r="BY1249" s="8"/>
      <c r="BZ1249" s="8"/>
      <c r="CA1249" s="8"/>
      <c r="CB1249" s="8"/>
      <c r="CC1249" s="8"/>
      <c r="CD1249" s="8"/>
      <c r="CE1249" s="8"/>
      <c r="CF1249" s="8"/>
      <c r="CG1249" s="8"/>
      <c r="CH1249" s="8"/>
      <c r="CI1249" s="8"/>
      <c r="CJ1249" s="8"/>
      <c r="CK1249" s="8"/>
      <c r="CL1249" s="8"/>
      <c r="CM1249" s="8"/>
      <c r="CN1249" s="8"/>
      <c r="CO1249" s="8"/>
      <c r="CP1249" s="8"/>
      <c r="CQ1249" s="8"/>
      <c r="CR1249" s="8"/>
      <c r="CS1249" s="8"/>
      <c r="CT1249" s="8"/>
      <c r="CU1249" s="8"/>
      <c r="CV1249" s="8"/>
      <c r="CW1249" s="8"/>
      <c r="CX1249" s="8"/>
      <c r="CY1249" s="8"/>
      <c r="CZ1249" s="8"/>
      <c r="DA1249" s="8"/>
      <c r="DB1249" s="8"/>
      <c r="DC1249" s="8"/>
      <c r="DD1249" s="8"/>
      <c r="DE1249" s="8"/>
      <c r="DF1249" s="8"/>
      <c r="DG1249" s="8"/>
      <c r="DH1249" s="8"/>
      <c r="DI1249" s="8"/>
      <c r="DJ1249" s="8"/>
      <c r="DK1249" s="8"/>
      <c r="DL1249" s="8"/>
      <c r="DM1249" s="8"/>
      <c r="DN1249" s="8"/>
      <c r="DO1249" s="8"/>
      <c r="DP1249" s="8"/>
      <c r="DQ1249" s="8"/>
      <c r="DR1249" s="8"/>
      <c r="DS1249" s="8"/>
      <c r="DT1249" s="8"/>
      <c r="DU1249" s="8"/>
      <c r="DV1249" s="8"/>
      <c r="DW1249" s="8"/>
      <c r="DX1249" s="8"/>
      <c r="DY1249" s="8"/>
      <c r="DZ1249" s="8"/>
      <c r="EA1249" s="8"/>
      <c r="EB1249" s="8"/>
      <c r="EC1249" s="8"/>
      <c r="ED1249" s="8"/>
      <c r="EE1249" s="8"/>
      <c r="EF1249" s="8"/>
      <c r="EG1249" s="8"/>
      <c r="EH1249" s="8"/>
      <c r="EI1249" s="8"/>
      <c r="EJ1249" s="8"/>
      <c r="EK1249" s="8"/>
      <c r="EL1249" s="8"/>
      <c r="EM1249" s="8"/>
      <c r="EN1249" s="8"/>
      <c r="EO1249" s="8"/>
      <c r="EP1249" s="8"/>
      <c r="EQ1249" s="8"/>
      <c r="ER1249" s="8"/>
      <c r="ES1249" s="8"/>
      <c r="ET1249" s="8"/>
      <c r="EU1249" s="8"/>
      <c r="EV1249" s="8"/>
      <c r="EW1249" s="8"/>
      <c r="EX1249" s="8"/>
      <c r="EY1249" s="8"/>
      <c r="EZ1249" s="8"/>
      <c r="FA1249" s="8"/>
      <c r="FB1249" s="8"/>
      <c r="FC1249" s="8"/>
      <c r="FD1249" s="8"/>
      <c r="FE1249" s="8"/>
      <c r="FF1249" s="8"/>
      <c r="FG1249" s="8"/>
      <c r="FH1249" s="8"/>
      <c r="FI1249" s="8"/>
      <c r="FJ1249" s="8"/>
      <c r="FK1249" s="8"/>
      <c r="FL1249" s="8"/>
      <c r="FM1249" s="8"/>
      <c r="FN1249" s="8"/>
      <c r="FO1249" s="8"/>
      <c r="FP1249" s="8"/>
      <c r="FQ1249" s="8"/>
      <c r="FR1249" s="8"/>
      <c r="FS1249" s="8"/>
      <c r="FT1249" s="8"/>
      <c r="FU1249" s="8"/>
      <c r="FV1249" s="8"/>
      <c r="FW1249" s="8"/>
      <c r="FX1249" s="8"/>
      <c r="FY1249" s="8"/>
      <c r="FZ1249" s="8"/>
      <c r="GA1249" s="8"/>
      <c r="GB1249" s="8"/>
      <c r="GC1249" s="8"/>
      <c r="GD1249" s="8"/>
      <c r="GE1249" s="8"/>
      <c r="GF1249" s="8"/>
      <c r="GG1249" s="8"/>
      <c r="GH1249" s="8"/>
      <c r="GI1249" s="8"/>
      <c r="GJ1249" s="8"/>
      <c r="GK1249" s="8"/>
      <c r="GL1249" s="8"/>
      <c r="GM1249" s="8"/>
      <c r="GN1249" s="8"/>
      <c r="GO1249" s="8"/>
      <c r="GP1249" s="8"/>
      <c r="GQ1249" s="8"/>
      <c r="GR1249" s="8"/>
      <c r="GS1249" s="8"/>
      <c r="GT1249" s="8"/>
      <c r="GU1249" s="8"/>
      <c r="GV1249" s="8"/>
      <c r="GW1249" s="8"/>
      <c r="GX1249" s="8"/>
      <c r="GY1249" s="8"/>
      <c r="GZ1249" s="8"/>
      <c r="HA1249" s="8"/>
      <c r="HB1249" s="8"/>
      <c r="HC1249" s="8"/>
      <c r="HD1249" s="8"/>
      <c r="HE1249" s="8"/>
      <c r="HF1249" s="8"/>
      <c r="HG1249" s="8"/>
      <c r="HH1249" s="8"/>
      <c r="HI1249" s="8"/>
      <c r="HJ1249" s="8"/>
      <c r="HK1249" s="8"/>
      <c r="HL1249" s="8"/>
      <c r="HM1249" s="8"/>
      <c r="HN1249" s="8"/>
      <c r="HO1249" s="8"/>
      <c r="HP1249" s="8"/>
      <c r="HQ1249" s="8"/>
      <c r="HR1249" s="8"/>
      <c r="HS1249" s="8"/>
      <c r="HT1249" s="8"/>
      <c r="HU1249" s="8"/>
      <c r="HV1249" s="8"/>
      <c r="HW1249" s="8"/>
      <c r="HX1249" s="8"/>
      <c r="HY1249" s="8"/>
      <c r="HZ1249" s="8"/>
      <c r="IA1249" s="8"/>
      <c r="IB1249" s="8"/>
      <c r="IC1249" s="8"/>
      <c r="ID1249" s="8"/>
      <c r="IE1249" s="8"/>
      <c r="IF1249" s="8"/>
    </row>
    <row r="1250" spans="1:240" ht="30" customHeight="1">
      <c r="A1250" s="5">
        <v>1248</v>
      </c>
      <c r="B1250" s="5"/>
      <c r="C1250" s="5"/>
      <c r="D1250" s="5" t="s">
        <v>68</v>
      </c>
      <c r="E1250" s="5">
        <v>2960</v>
      </c>
      <c r="F1250" s="5">
        <v>2045</v>
      </c>
      <c r="G1250" s="5">
        <v>3515</v>
      </c>
      <c r="H1250" s="5">
        <v>2200</v>
      </c>
      <c r="I1250" s="5" t="s">
        <v>13</v>
      </c>
      <c r="J1250" s="5">
        <f>1040/1000*60</f>
        <v>62.400000000000006</v>
      </c>
      <c r="K1250" s="17">
        <f t="shared" si="36"/>
        <v>5</v>
      </c>
      <c r="L1250" s="24">
        <v>360.20100681397128</v>
      </c>
      <c r="M1250" s="5">
        <f t="shared" si="37"/>
        <v>5</v>
      </c>
      <c r="N1250" s="5"/>
      <c r="O1250" s="5">
        <f>260*60*R1250</f>
        <v>31200</v>
      </c>
      <c r="P1250" s="5"/>
      <c r="Q1250" s="5"/>
      <c r="R1250" s="5">
        <v>2</v>
      </c>
      <c r="S1250" s="5">
        <v>1000</v>
      </c>
      <c r="T1250" s="5"/>
      <c r="U1250" s="5"/>
      <c r="V1250" s="15">
        <f>0.7457*1*R1250</f>
        <v>1.4914000000000001</v>
      </c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8"/>
      <c r="AP1250" s="8"/>
      <c r="AQ1250" s="8"/>
      <c r="AR1250" s="8"/>
      <c r="AS1250" s="8"/>
      <c r="AT1250" s="8"/>
      <c r="AU1250" s="8"/>
      <c r="AV1250" s="8"/>
      <c r="AW1250" s="8"/>
      <c r="AX1250" s="8"/>
      <c r="AY1250" s="8"/>
      <c r="AZ1250" s="8"/>
      <c r="BA1250" s="8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8"/>
      <c r="BS1250" s="8"/>
      <c r="BT1250" s="8"/>
      <c r="BU1250" s="8"/>
      <c r="BV1250" s="8"/>
      <c r="BW1250" s="8"/>
      <c r="BX1250" s="8"/>
      <c r="BY1250" s="8"/>
      <c r="BZ1250" s="8"/>
      <c r="CA1250" s="8"/>
      <c r="CB1250" s="8"/>
      <c r="CC1250" s="8"/>
      <c r="CD1250" s="8"/>
      <c r="CE1250" s="8"/>
      <c r="CF1250" s="8"/>
      <c r="CG1250" s="8"/>
      <c r="CH1250" s="8"/>
      <c r="CI1250" s="8"/>
      <c r="CJ1250" s="8"/>
      <c r="CK1250" s="8"/>
      <c r="CL1250" s="8"/>
      <c r="CM1250" s="8"/>
      <c r="CN1250" s="8"/>
      <c r="CO1250" s="8"/>
      <c r="CP1250" s="8"/>
      <c r="CQ1250" s="8"/>
      <c r="CR1250" s="8"/>
      <c r="CS1250" s="8"/>
      <c r="CT1250" s="8"/>
      <c r="CU1250" s="8"/>
      <c r="CV1250" s="8"/>
      <c r="CW1250" s="8"/>
      <c r="CX1250" s="8"/>
      <c r="CY1250" s="8"/>
      <c r="CZ1250" s="8"/>
      <c r="DA1250" s="8"/>
      <c r="DB1250" s="8"/>
      <c r="DC1250" s="8"/>
      <c r="DD1250" s="8"/>
      <c r="DE1250" s="8"/>
      <c r="DF1250" s="8"/>
      <c r="DG1250" s="8"/>
      <c r="DH1250" s="8"/>
      <c r="DI1250" s="8"/>
      <c r="DJ1250" s="8"/>
      <c r="DK1250" s="8"/>
      <c r="DL1250" s="8"/>
      <c r="DM1250" s="8"/>
      <c r="DN1250" s="8"/>
      <c r="DO1250" s="8"/>
      <c r="DP1250" s="8"/>
      <c r="DQ1250" s="8"/>
      <c r="DR1250" s="8"/>
      <c r="DS1250" s="8"/>
      <c r="DT1250" s="8"/>
      <c r="DU1250" s="8"/>
      <c r="DV1250" s="8"/>
      <c r="DW1250" s="8"/>
      <c r="DX1250" s="8"/>
      <c r="DY1250" s="8"/>
      <c r="DZ1250" s="8"/>
      <c r="EA1250" s="8"/>
      <c r="EB1250" s="8"/>
      <c r="EC1250" s="8"/>
      <c r="ED1250" s="8"/>
      <c r="EE1250" s="8"/>
      <c r="EF1250" s="8"/>
      <c r="EG1250" s="8"/>
      <c r="EH1250" s="8"/>
      <c r="EI1250" s="8"/>
      <c r="EJ1250" s="8"/>
      <c r="EK1250" s="8"/>
      <c r="EL1250" s="8"/>
      <c r="EM1250" s="8"/>
      <c r="EN1250" s="8"/>
      <c r="EO1250" s="8"/>
      <c r="EP1250" s="8"/>
      <c r="EQ1250" s="8"/>
      <c r="ER1250" s="8"/>
      <c r="ES1250" s="8"/>
      <c r="ET1250" s="8"/>
      <c r="EU1250" s="8"/>
      <c r="EV1250" s="8"/>
      <c r="EW1250" s="8"/>
      <c r="EX1250" s="8"/>
      <c r="EY1250" s="8"/>
      <c r="EZ1250" s="8"/>
      <c r="FA1250" s="8"/>
      <c r="FB1250" s="8"/>
      <c r="FC1250" s="8"/>
      <c r="FD1250" s="8"/>
      <c r="FE1250" s="8"/>
      <c r="FF1250" s="8"/>
      <c r="FG1250" s="8"/>
      <c r="FH1250" s="8"/>
      <c r="FI1250" s="8"/>
      <c r="FJ1250" s="8"/>
      <c r="FK1250" s="8"/>
      <c r="FL1250" s="8"/>
      <c r="FM1250" s="8"/>
      <c r="FN1250" s="8"/>
      <c r="FO1250" s="8"/>
      <c r="FP1250" s="8"/>
      <c r="FQ1250" s="8"/>
      <c r="FR1250" s="8"/>
      <c r="FS1250" s="8"/>
      <c r="FT1250" s="8"/>
      <c r="FU1250" s="8"/>
      <c r="FV1250" s="8"/>
      <c r="FW1250" s="8"/>
      <c r="FX1250" s="8"/>
      <c r="FY1250" s="8"/>
      <c r="FZ1250" s="8"/>
      <c r="GA1250" s="8"/>
      <c r="GB1250" s="8"/>
      <c r="GC1250" s="8"/>
      <c r="GD1250" s="8"/>
      <c r="GE1250" s="8"/>
      <c r="GF1250" s="8"/>
      <c r="GG1250" s="8"/>
      <c r="GH1250" s="8"/>
      <c r="GI1250" s="8"/>
      <c r="GJ1250" s="8"/>
      <c r="GK1250" s="8"/>
      <c r="GL1250" s="8"/>
      <c r="GM1250" s="8"/>
      <c r="GN1250" s="8"/>
      <c r="GO1250" s="8"/>
      <c r="GP1250" s="8"/>
      <c r="GQ1250" s="8"/>
      <c r="GR1250" s="8"/>
      <c r="GS1250" s="8"/>
      <c r="GT1250" s="8"/>
      <c r="GU1250" s="8"/>
      <c r="GV1250" s="8"/>
      <c r="GW1250" s="8"/>
      <c r="GX1250" s="8"/>
      <c r="GY1250" s="8"/>
      <c r="GZ1250" s="8"/>
      <c r="HA1250" s="8"/>
      <c r="HB1250" s="8"/>
      <c r="HC1250" s="8"/>
      <c r="HD1250" s="8"/>
      <c r="HE1250" s="8"/>
      <c r="HF1250" s="8"/>
      <c r="HG1250" s="8"/>
      <c r="HH1250" s="8"/>
      <c r="HI1250" s="8"/>
      <c r="HJ1250" s="8"/>
      <c r="HK1250" s="8"/>
      <c r="HL1250" s="8"/>
      <c r="HM1250" s="8"/>
      <c r="HN1250" s="8"/>
      <c r="HO1250" s="8"/>
      <c r="HP1250" s="8"/>
      <c r="HQ1250" s="8"/>
      <c r="HR1250" s="8"/>
      <c r="HS1250" s="8"/>
      <c r="HT1250" s="8"/>
      <c r="HU1250" s="8"/>
      <c r="HV1250" s="8"/>
      <c r="HW1250" s="8"/>
      <c r="HX1250" s="8"/>
      <c r="HY1250" s="8"/>
      <c r="HZ1250" s="8"/>
      <c r="IA1250" s="8"/>
      <c r="IB1250" s="8"/>
      <c r="IC1250" s="8"/>
      <c r="ID1250" s="8"/>
      <c r="IE1250" s="8"/>
      <c r="IF1250" s="8"/>
    </row>
    <row r="1251" spans="1:240" ht="30" customHeight="1">
      <c r="A1251" s="5">
        <v>1249</v>
      </c>
      <c r="B1251" s="5"/>
      <c r="C1251" s="5"/>
      <c r="D1251" s="5" t="s">
        <v>68</v>
      </c>
      <c r="E1251" s="5">
        <v>3360</v>
      </c>
      <c r="F1251" s="5">
        <v>2045</v>
      </c>
      <c r="G1251" s="5">
        <v>3515</v>
      </c>
      <c r="H1251" s="5">
        <v>2540</v>
      </c>
      <c r="I1251" s="5" t="s">
        <v>13</v>
      </c>
      <c r="J1251" s="5">
        <f>1300/1000*60</f>
        <v>78</v>
      </c>
      <c r="K1251" s="17">
        <f t="shared" si="36"/>
        <v>5</v>
      </c>
      <c r="L1251" s="24">
        <v>450.25125851746401</v>
      </c>
      <c r="M1251" s="5">
        <f t="shared" si="37"/>
        <v>5</v>
      </c>
      <c r="N1251" s="5"/>
      <c r="O1251" s="5">
        <f>330*60*R1251</f>
        <v>39600</v>
      </c>
      <c r="P1251" s="5"/>
      <c r="Q1251" s="5"/>
      <c r="R1251" s="5">
        <v>2</v>
      </c>
      <c r="S1251" s="5">
        <v>1000</v>
      </c>
      <c r="T1251" s="5"/>
      <c r="U1251" s="5"/>
      <c r="V1251" s="15">
        <f>0.7457*1*R1251</f>
        <v>1.4914000000000001</v>
      </c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8"/>
      <c r="AP1251" s="8"/>
      <c r="AQ1251" s="8"/>
      <c r="AR1251" s="8"/>
      <c r="AS1251" s="8"/>
      <c r="AT1251" s="8"/>
      <c r="AU1251" s="8"/>
      <c r="AV1251" s="8"/>
      <c r="AW1251" s="8"/>
      <c r="AX1251" s="8"/>
      <c r="AY1251" s="8"/>
      <c r="AZ1251" s="8"/>
      <c r="BA1251" s="8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8"/>
      <c r="BS1251" s="8"/>
      <c r="BT1251" s="8"/>
      <c r="BU1251" s="8"/>
      <c r="BV1251" s="8"/>
      <c r="BW1251" s="8"/>
      <c r="BX1251" s="8"/>
      <c r="BY1251" s="8"/>
      <c r="BZ1251" s="8"/>
      <c r="CA1251" s="8"/>
      <c r="CB1251" s="8"/>
      <c r="CC1251" s="8"/>
      <c r="CD1251" s="8"/>
      <c r="CE1251" s="8"/>
      <c r="CF1251" s="8"/>
      <c r="CG1251" s="8"/>
      <c r="CH1251" s="8"/>
      <c r="CI1251" s="8"/>
      <c r="CJ1251" s="8"/>
      <c r="CK1251" s="8"/>
      <c r="CL1251" s="8"/>
      <c r="CM1251" s="8"/>
      <c r="CN1251" s="8"/>
      <c r="CO1251" s="8"/>
      <c r="CP1251" s="8"/>
      <c r="CQ1251" s="8"/>
      <c r="CR1251" s="8"/>
      <c r="CS1251" s="8"/>
      <c r="CT1251" s="8"/>
      <c r="CU1251" s="8"/>
      <c r="CV1251" s="8"/>
      <c r="CW1251" s="8"/>
      <c r="CX1251" s="8"/>
      <c r="CY1251" s="8"/>
      <c r="CZ1251" s="8"/>
      <c r="DA1251" s="8"/>
      <c r="DB1251" s="8"/>
      <c r="DC1251" s="8"/>
      <c r="DD1251" s="8"/>
      <c r="DE1251" s="8"/>
      <c r="DF1251" s="8"/>
      <c r="DG1251" s="8"/>
      <c r="DH1251" s="8"/>
      <c r="DI1251" s="8"/>
      <c r="DJ1251" s="8"/>
      <c r="DK1251" s="8"/>
      <c r="DL1251" s="8"/>
      <c r="DM1251" s="8"/>
      <c r="DN1251" s="8"/>
      <c r="DO1251" s="8"/>
      <c r="DP1251" s="8"/>
      <c r="DQ1251" s="8"/>
      <c r="DR1251" s="8"/>
      <c r="DS1251" s="8"/>
      <c r="DT1251" s="8"/>
      <c r="DU1251" s="8"/>
      <c r="DV1251" s="8"/>
      <c r="DW1251" s="8"/>
      <c r="DX1251" s="8"/>
      <c r="DY1251" s="8"/>
      <c r="DZ1251" s="8"/>
      <c r="EA1251" s="8"/>
      <c r="EB1251" s="8"/>
      <c r="EC1251" s="8"/>
      <c r="ED1251" s="8"/>
      <c r="EE1251" s="8"/>
      <c r="EF1251" s="8"/>
      <c r="EG1251" s="8"/>
      <c r="EH1251" s="8"/>
      <c r="EI1251" s="8"/>
      <c r="EJ1251" s="8"/>
      <c r="EK1251" s="8"/>
      <c r="EL1251" s="8"/>
      <c r="EM1251" s="8"/>
      <c r="EN1251" s="8"/>
      <c r="EO1251" s="8"/>
      <c r="EP1251" s="8"/>
      <c r="EQ1251" s="8"/>
      <c r="ER1251" s="8"/>
      <c r="ES1251" s="8"/>
      <c r="ET1251" s="8"/>
      <c r="EU1251" s="8"/>
      <c r="EV1251" s="8"/>
      <c r="EW1251" s="8"/>
      <c r="EX1251" s="8"/>
      <c r="EY1251" s="8"/>
      <c r="EZ1251" s="8"/>
      <c r="FA1251" s="8"/>
      <c r="FB1251" s="8"/>
      <c r="FC1251" s="8"/>
      <c r="FD1251" s="8"/>
      <c r="FE1251" s="8"/>
      <c r="FF1251" s="8"/>
      <c r="FG1251" s="8"/>
      <c r="FH1251" s="8"/>
      <c r="FI1251" s="8"/>
      <c r="FJ1251" s="8"/>
      <c r="FK1251" s="8"/>
      <c r="FL1251" s="8"/>
      <c r="FM1251" s="8"/>
      <c r="FN1251" s="8"/>
      <c r="FO1251" s="8"/>
      <c r="FP1251" s="8"/>
      <c r="FQ1251" s="8"/>
      <c r="FR1251" s="8"/>
      <c r="FS1251" s="8"/>
      <c r="FT1251" s="8"/>
      <c r="FU1251" s="8"/>
      <c r="FV1251" s="8"/>
      <c r="FW1251" s="8"/>
      <c r="FX1251" s="8"/>
      <c r="FY1251" s="8"/>
      <c r="FZ1251" s="8"/>
      <c r="GA1251" s="8"/>
      <c r="GB1251" s="8"/>
      <c r="GC1251" s="8"/>
      <c r="GD1251" s="8"/>
      <c r="GE1251" s="8"/>
      <c r="GF1251" s="8"/>
      <c r="GG1251" s="8"/>
      <c r="GH1251" s="8"/>
      <c r="GI1251" s="8"/>
      <c r="GJ1251" s="8"/>
      <c r="GK1251" s="8"/>
      <c r="GL1251" s="8"/>
      <c r="GM1251" s="8"/>
      <c r="GN1251" s="8"/>
      <c r="GO1251" s="8"/>
      <c r="GP1251" s="8"/>
      <c r="GQ1251" s="8"/>
      <c r="GR1251" s="8"/>
      <c r="GS1251" s="8"/>
      <c r="GT1251" s="8"/>
      <c r="GU1251" s="8"/>
      <c r="GV1251" s="8"/>
      <c r="GW1251" s="8"/>
      <c r="GX1251" s="8"/>
      <c r="GY1251" s="8"/>
      <c r="GZ1251" s="8"/>
      <c r="HA1251" s="8"/>
      <c r="HB1251" s="8"/>
      <c r="HC1251" s="8"/>
      <c r="HD1251" s="8"/>
      <c r="HE1251" s="8"/>
      <c r="HF1251" s="8"/>
      <c r="HG1251" s="8"/>
      <c r="HH1251" s="8"/>
      <c r="HI1251" s="8"/>
      <c r="HJ1251" s="8"/>
      <c r="HK1251" s="8"/>
      <c r="HL1251" s="8"/>
      <c r="HM1251" s="8"/>
      <c r="HN1251" s="8"/>
      <c r="HO1251" s="8"/>
      <c r="HP1251" s="8"/>
      <c r="HQ1251" s="8"/>
      <c r="HR1251" s="8"/>
      <c r="HS1251" s="8"/>
      <c r="HT1251" s="8"/>
      <c r="HU1251" s="8"/>
      <c r="HV1251" s="8"/>
      <c r="HW1251" s="8"/>
      <c r="HX1251" s="8"/>
      <c r="HY1251" s="8"/>
      <c r="HZ1251" s="8"/>
      <c r="IA1251" s="8"/>
      <c r="IB1251" s="8"/>
      <c r="IC1251" s="8"/>
      <c r="ID1251" s="8"/>
      <c r="IE1251" s="8"/>
      <c r="IF1251" s="8"/>
    </row>
    <row r="1252" spans="1:240" ht="30" customHeight="1">
      <c r="A1252" s="5">
        <v>1250</v>
      </c>
      <c r="B1252" s="5"/>
      <c r="C1252" s="5"/>
      <c r="D1252" s="5" t="s">
        <v>68</v>
      </c>
      <c r="E1252" s="5">
        <v>3360</v>
      </c>
      <c r="F1252" s="5">
        <v>2680</v>
      </c>
      <c r="G1252" s="5">
        <v>3670</v>
      </c>
      <c r="H1252" s="5">
        <v>4000</v>
      </c>
      <c r="I1252" s="5" t="s">
        <v>13</v>
      </c>
      <c r="J1252" s="5">
        <f>2600/1000*60</f>
        <v>156</v>
      </c>
      <c r="K1252" s="17">
        <f t="shared" si="36"/>
        <v>5</v>
      </c>
      <c r="L1252" s="24">
        <v>900.50251703492802</v>
      </c>
      <c r="M1252" s="5">
        <f t="shared" si="37"/>
        <v>5</v>
      </c>
      <c r="N1252" s="5"/>
      <c r="O1252" s="5">
        <f>700*60*R1252</f>
        <v>84000</v>
      </c>
      <c r="P1252" s="5"/>
      <c r="Q1252" s="5"/>
      <c r="R1252" s="5">
        <v>2</v>
      </c>
      <c r="S1252" s="5">
        <v>1300</v>
      </c>
      <c r="T1252" s="5"/>
      <c r="U1252" s="5"/>
      <c r="V1252" s="15">
        <f>0.7457*2*R1252</f>
        <v>2.9828000000000001</v>
      </c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8"/>
      <c r="AP1252" s="8"/>
      <c r="AQ1252" s="8"/>
      <c r="AR1252" s="8"/>
      <c r="AS1252" s="8"/>
      <c r="AT1252" s="8"/>
      <c r="AU1252" s="8"/>
      <c r="AV1252" s="8"/>
      <c r="AW1252" s="8"/>
      <c r="AX1252" s="8"/>
      <c r="AY1252" s="8"/>
      <c r="AZ1252" s="8"/>
      <c r="BA1252" s="8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8"/>
      <c r="BS1252" s="8"/>
      <c r="BT1252" s="8"/>
      <c r="BU1252" s="8"/>
      <c r="BV1252" s="8"/>
      <c r="BW1252" s="8"/>
      <c r="BX1252" s="8"/>
      <c r="BY1252" s="8"/>
      <c r="BZ1252" s="8"/>
      <c r="CA1252" s="8"/>
      <c r="CB1252" s="8"/>
      <c r="CC1252" s="8"/>
      <c r="CD1252" s="8"/>
      <c r="CE1252" s="8"/>
      <c r="CF1252" s="8"/>
      <c r="CG1252" s="8"/>
      <c r="CH1252" s="8"/>
      <c r="CI1252" s="8"/>
      <c r="CJ1252" s="8"/>
      <c r="CK1252" s="8"/>
      <c r="CL1252" s="8"/>
      <c r="CM1252" s="8"/>
      <c r="CN1252" s="8"/>
      <c r="CO1252" s="8"/>
      <c r="CP1252" s="8"/>
      <c r="CQ1252" s="8"/>
      <c r="CR1252" s="8"/>
      <c r="CS1252" s="8"/>
      <c r="CT1252" s="8"/>
      <c r="CU1252" s="8"/>
      <c r="CV1252" s="8"/>
      <c r="CW1252" s="8"/>
      <c r="CX1252" s="8"/>
      <c r="CY1252" s="8"/>
      <c r="CZ1252" s="8"/>
      <c r="DA1252" s="8"/>
      <c r="DB1252" s="8"/>
      <c r="DC1252" s="8"/>
      <c r="DD1252" s="8"/>
      <c r="DE1252" s="8"/>
      <c r="DF1252" s="8"/>
      <c r="DG1252" s="8"/>
      <c r="DH1252" s="8"/>
      <c r="DI1252" s="8"/>
      <c r="DJ1252" s="8"/>
      <c r="DK1252" s="8"/>
      <c r="DL1252" s="8"/>
      <c r="DM1252" s="8"/>
      <c r="DN1252" s="8"/>
      <c r="DO1252" s="8"/>
      <c r="DP1252" s="8"/>
      <c r="DQ1252" s="8"/>
      <c r="DR1252" s="8"/>
      <c r="DS1252" s="8"/>
      <c r="DT1252" s="8"/>
      <c r="DU1252" s="8"/>
      <c r="DV1252" s="8"/>
      <c r="DW1252" s="8"/>
      <c r="DX1252" s="8"/>
      <c r="DY1252" s="8"/>
      <c r="DZ1252" s="8"/>
      <c r="EA1252" s="8"/>
      <c r="EB1252" s="8"/>
      <c r="EC1252" s="8"/>
      <c r="ED1252" s="8"/>
      <c r="EE1252" s="8"/>
      <c r="EF1252" s="8"/>
      <c r="EG1252" s="8"/>
      <c r="EH1252" s="8"/>
      <c r="EI1252" s="8"/>
      <c r="EJ1252" s="8"/>
      <c r="EK1252" s="8"/>
      <c r="EL1252" s="8"/>
      <c r="EM1252" s="8"/>
      <c r="EN1252" s="8"/>
      <c r="EO1252" s="8"/>
      <c r="EP1252" s="8"/>
      <c r="EQ1252" s="8"/>
      <c r="ER1252" s="8"/>
      <c r="ES1252" s="8"/>
      <c r="ET1252" s="8"/>
      <c r="EU1252" s="8"/>
      <c r="EV1252" s="8"/>
      <c r="EW1252" s="8"/>
      <c r="EX1252" s="8"/>
      <c r="EY1252" s="8"/>
      <c r="EZ1252" s="8"/>
      <c r="FA1252" s="8"/>
      <c r="FB1252" s="8"/>
      <c r="FC1252" s="8"/>
      <c r="FD1252" s="8"/>
      <c r="FE1252" s="8"/>
      <c r="FF1252" s="8"/>
      <c r="FG1252" s="8"/>
      <c r="FH1252" s="8"/>
      <c r="FI1252" s="8"/>
      <c r="FJ1252" s="8"/>
      <c r="FK1252" s="8"/>
      <c r="FL1252" s="8"/>
      <c r="FM1252" s="8"/>
      <c r="FN1252" s="8"/>
      <c r="FO1252" s="8"/>
      <c r="FP1252" s="8"/>
      <c r="FQ1252" s="8"/>
      <c r="FR1252" s="8"/>
      <c r="FS1252" s="8"/>
      <c r="FT1252" s="8"/>
      <c r="FU1252" s="8"/>
      <c r="FV1252" s="8"/>
      <c r="FW1252" s="8"/>
      <c r="FX1252" s="8"/>
      <c r="FY1252" s="8"/>
      <c r="FZ1252" s="8"/>
      <c r="GA1252" s="8"/>
      <c r="GB1252" s="8"/>
      <c r="GC1252" s="8"/>
      <c r="GD1252" s="8"/>
      <c r="GE1252" s="8"/>
      <c r="GF1252" s="8"/>
      <c r="GG1252" s="8"/>
      <c r="GH1252" s="8"/>
      <c r="GI1252" s="8"/>
      <c r="GJ1252" s="8"/>
      <c r="GK1252" s="8"/>
      <c r="GL1252" s="8"/>
      <c r="GM1252" s="8"/>
      <c r="GN1252" s="8"/>
      <c r="GO1252" s="8"/>
      <c r="GP1252" s="8"/>
      <c r="GQ1252" s="8"/>
      <c r="GR1252" s="8"/>
      <c r="GS1252" s="8"/>
      <c r="GT1252" s="8"/>
      <c r="GU1252" s="8"/>
      <c r="GV1252" s="8"/>
      <c r="GW1252" s="8"/>
      <c r="GX1252" s="8"/>
      <c r="GY1252" s="8"/>
      <c r="GZ1252" s="8"/>
      <c r="HA1252" s="8"/>
      <c r="HB1252" s="8"/>
      <c r="HC1252" s="8"/>
      <c r="HD1252" s="8"/>
      <c r="HE1252" s="8"/>
      <c r="HF1252" s="8"/>
      <c r="HG1252" s="8"/>
      <c r="HH1252" s="8"/>
      <c r="HI1252" s="8"/>
      <c r="HJ1252" s="8"/>
      <c r="HK1252" s="8"/>
      <c r="HL1252" s="8"/>
      <c r="HM1252" s="8"/>
      <c r="HN1252" s="8"/>
      <c r="HO1252" s="8"/>
      <c r="HP1252" s="8"/>
      <c r="HQ1252" s="8"/>
      <c r="HR1252" s="8"/>
      <c r="HS1252" s="8"/>
      <c r="HT1252" s="8"/>
      <c r="HU1252" s="8"/>
      <c r="HV1252" s="8"/>
      <c r="HW1252" s="8"/>
      <c r="HX1252" s="8"/>
      <c r="HY1252" s="8"/>
      <c r="HZ1252" s="8"/>
      <c r="IA1252" s="8"/>
      <c r="IB1252" s="8"/>
      <c r="IC1252" s="8"/>
      <c r="ID1252" s="8"/>
      <c r="IE1252" s="8"/>
      <c r="IF1252" s="8"/>
    </row>
    <row r="1253" spans="1:240" ht="30" customHeight="1">
      <c r="A1253" s="5">
        <v>1251</v>
      </c>
      <c r="B1253" s="5"/>
      <c r="C1253" s="5"/>
      <c r="D1253" s="5" t="s">
        <v>68</v>
      </c>
      <c r="E1253" s="5">
        <v>900</v>
      </c>
      <c r="F1253" s="5">
        <v>600</v>
      </c>
      <c r="G1253" s="5">
        <v>1980</v>
      </c>
      <c r="H1253" s="5">
        <v>196</v>
      </c>
      <c r="I1253" s="5" t="s">
        <v>13</v>
      </c>
      <c r="J1253" s="15">
        <f>4*10/4.4</f>
        <v>9.0909090909090899</v>
      </c>
      <c r="K1253" s="17">
        <f>36.389-32.222</f>
        <v>4.1670000000000016</v>
      </c>
      <c r="L1253" s="15">
        <f>10*3782*4.1868/3600</f>
        <v>43.984659999999998</v>
      </c>
      <c r="M1253" s="5">
        <f>32.222-28.333</f>
        <v>3.8890000000000029</v>
      </c>
      <c r="N1253" s="5"/>
      <c r="O1253" s="5">
        <f>2500*1.6978</f>
        <v>4244.5</v>
      </c>
      <c r="P1253" s="5"/>
      <c r="Q1253" s="5"/>
      <c r="R1253" s="5">
        <v>1</v>
      </c>
      <c r="S1253" s="5">
        <v>450</v>
      </c>
      <c r="T1253" s="5"/>
      <c r="U1253" s="5">
        <v>1400</v>
      </c>
      <c r="V1253" s="15">
        <f>0.7457*0.5*R1253</f>
        <v>0.37285000000000001</v>
      </c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8"/>
      <c r="AP1253" s="8"/>
      <c r="AQ1253" s="8"/>
      <c r="AR1253" s="8"/>
      <c r="AS1253" s="8"/>
      <c r="AT1253" s="8"/>
      <c r="AU1253" s="8"/>
      <c r="AV1253" s="8"/>
      <c r="AW1253" s="8"/>
      <c r="AX1253" s="8"/>
      <c r="AY1253" s="8"/>
      <c r="AZ1253" s="8"/>
      <c r="BA1253" s="8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8"/>
      <c r="BS1253" s="8"/>
      <c r="BT1253" s="8"/>
      <c r="BU1253" s="8"/>
      <c r="BV1253" s="8"/>
      <c r="BW1253" s="8"/>
      <c r="BX1253" s="8"/>
      <c r="BY1253" s="8"/>
      <c r="BZ1253" s="8"/>
      <c r="CA1253" s="8"/>
      <c r="CB1253" s="8"/>
      <c r="CC1253" s="8"/>
      <c r="CD1253" s="8"/>
      <c r="CE1253" s="8"/>
      <c r="CF1253" s="8"/>
      <c r="CG1253" s="8"/>
      <c r="CH1253" s="8"/>
      <c r="CI1253" s="8"/>
      <c r="CJ1253" s="8"/>
      <c r="CK1253" s="8"/>
      <c r="CL1253" s="8"/>
      <c r="CM1253" s="8"/>
      <c r="CN1253" s="8"/>
      <c r="CO1253" s="8"/>
      <c r="CP1253" s="8"/>
      <c r="CQ1253" s="8"/>
      <c r="CR1253" s="8"/>
      <c r="CS1253" s="8"/>
      <c r="CT1253" s="8"/>
      <c r="CU1253" s="8"/>
      <c r="CV1253" s="8"/>
      <c r="CW1253" s="8"/>
      <c r="CX1253" s="8"/>
      <c r="CY1253" s="8"/>
      <c r="CZ1253" s="8"/>
      <c r="DA1253" s="8"/>
      <c r="DB1253" s="8"/>
      <c r="DC1253" s="8"/>
      <c r="DD1253" s="8"/>
      <c r="DE1253" s="8"/>
      <c r="DF1253" s="8"/>
      <c r="DG1253" s="8"/>
      <c r="DH1253" s="8"/>
      <c r="DI1253" s="8"/>
      <c r="DJ1253" s="8"/>
      <c r="DK1253" s="8"/>
      <c r="DL1253" s="8"/>
      <c r="DM1253" s="8"/>
      <c r="DN1253" s="8"/>
      <c r="DO1253" s="8"/>
      <c r="DP1253" s="8"/>
      <c r="DQ1253" s="8"/>
      <c r="DR1253" s="8"/>
      <c r="DS1253" s="8"/>
      <c r="DT1253" s="8"/>
      <c r="DU1253" s="8"/>
      <c r="DV1253" s="8"/>
      <c r="DW1253" s="8"/>
      <c r="DX1253" s="8"/>
      <c r="DY1253" s="8"/>
      <c r="DZ1253" s="8"/>
      <c r="EA1253" s="8"/>
      <c r="EB1253" s="8"/>
      <c r="EC1253" s="8"/>
      <c r="ED1253" s="8"/>
      <c r="EE1253" s="8"/>
      <c r="EF1253" s="8"/>
      <c r="EG1253" s="8"/>
      <c r="EH1253" s="8"/>
      <c r="EI1253" s="8"/>
      <c r="EJ1253" s="8"/>
      <c r="EK1253" s="8"/>
      <c r="EL1253" s="8"/>
      <c r="EM1253" s="8"/>
      <c r="EN1253" s="8"/>
      <c r="EO1253" s="8"/>
      <c r="EP1253" s="8"/>
      <c r="EQ1253" s="8"/>
      <c r="ER1253" s="8"/>
      <c r="ES1253" s="8"/>
      <c r="ET1253" s="8"/>
      <c r="EU1253" s="8"/>
      <c r="EV1253" s="8"/>
      <c r="EW1253" s="8"/>
      <c r="EX1253" s="8"/>
      <c r="EY1253" s="8"/>
      <c r="EZ1253" s="8"/>
      <c r="FA1253" s="8"/>
      <c r="FB1253" s="8"/>
      <c r="FC1253" s="8"/>
      <c r="FD1253" s="8"/>
      <c r="FE1253" s="8"/>
      <c r="FF1253" s="8"/>
      <c r="FG1253" s="8"/>
      <c r="FH1253" s="8"/>
      <c r="FI1253" s="8"/>
      <c r="FJ1253" s="8"/>
      <c r="FK1253" s="8"/>
      <c r="FL1253" s="8"/>
      <c r="FM1253" s="8"/>
      <c r="FN1253" s="8"/>
      <c r="FO1253" s="8"/>
      <c r="FP1253" s="8"/>
      <c r="FQ1253" s="8"/>
      <c r="FR1253" s="8"/>
      <c r="FS1253" s="8"/>
      <c r="FT1253" s="8"/>
      <c r="FU1253" s="8"/>
      <c r="FV1253" s="8"/>
      <c r="FW1253" s="8"/>
      <c r="FX1253" s="8"/>
      <c r="FY1253" s="8"/>
      <c r="FZ1253" s="8"/>
      <c r="GA1253" s="8"/>
      <c r="GB1253" s="8"/>
      <c r="GC1253" s="8"/>
      <c r="GD1253" s="8"/>
      <c r="GE1253" s="8"/>
      <c r="GF1253" s="8"/>
      <c r="GG1253" s="8"/>
      <c r="GH1253" s="8"/>
      <c r="GI1253" s="8"/>
      <c r="GJ1253" s="8"/>
      <c r="GK1253" s="8"/>
      <c r="GL1253" s="8"/>
      <c r="GM1253" s="8"/>
      <c r="GN1253" s="8"/>
      <c r="GO1253" s="8"/>
      <c r="GP1253" s="8"/>
      <c r="GQ1253" s="8"/>
      <c r="GR1253" s="8"/>
      <c r="GS1253" s="8"/>
      <c r="GT1253" s="8"/>
      <c r="GU1253" s="8"/>
      <c r="GV1253" s="8"/>
      <c r="GW1253" s="8"/>
      <c r="GX1253" s="8"/>
      <c r="GY1253" s="8"/>
      <c r="GZ1253" s="8"/>
      <c r="HA1253" s="8"/>
      <c r="HB1253" s="8"/>
      <c r="HC1253" s="8"/>
      <c r="HD1253" s="8"/>
      <c r="HE1253" s="8"/>
      <c r="HF1253" s="8"/>
      <c r="HG1253" s="8"/>
      <c r="HH1253" s="8"/>
      <c r="HI1253" s="8"/>
      <c r="HJ1253" s="8"/>
      <c r="HK1253" s="8"/>
      <c r="HL1253" s="8"/>
      <c r="HM1253" s="8"/>
      <c r="HN1253" s="8"/>
      <c r="HO1253" s="8"/>
      <c r="HP1253" s="8"/>
      <c r="HQ1253" s="8"/>
      <c r="HR1253" s="8"/>
      <c r="HS1253" s="8"/>
      <c r="HT1253" s="8"/>
      <c r="HU1253" s="8"/>
      <c r="HV1253" s="8"/>
      <c r="HW1253" s="8"/>
      <c r="HX1253" s="8"/>
      <c r="HY1253" s="8"/>
      <c r="HZ1253" s="8"/>
      <c r="IA1253" s="8"/>
      <c r="IB1253" s="8"/>
      <c r="IC1253" s="8"/>
      <c r="ID1253" s="8"/>
      <c r="IE1253" s="8"/>
      <c r="IF1253" s="8"/>
    </row>
    <row r="1254" spans="1:240" ht="30" customHeight="1">
      <c r="A1254" s="5">
        <v>1252</v>
      </c>
      <c r="B1254" s="5"/>
      <c r="C1254" s="5"/>
      <c r="D1254" s="5" t="s">
        <v>68</v>
      </c>
      <c r="E1254" s="5">
        <v>900</v>
      </c>
      <c r="F1254" s="5">
        <v>900</v>
      </c>
      <c r="G1254" s="5">
        <v>1980</v>
      </c>
      <c r="H1254" s="5">
        <v>269</v>
      </c>
      <c r="I1254" s="5" t="s">
        <v>13</v>
      </c>
      <c r="J1254" s="15">
        <f>4*15/4.4</f>
        <v>13.636363636363635</v>
      </c>
      <c r="K1254" s="17">
        <f t="shared" ref="K1254:K1312" si="38">36.389-32.222</f>
        <v>4.1670000000000016</v>
      </c>
      <c r="L1254" s="15">
        <f>15*3782*4.1868/3600</f>
        <v>65.976990000000001</v>
      </c>
      <c r="M1254" s="5">
        <f t="shared" ref="M1254:M1312" si="39">32.222-28.333</f>
        <v>3.8890000000000029</v>
      </c>
      <c r="N1254" s="5"/>
      <c r="O1254" s="5">
        <f>3800*1.6978</f>
        <v>6451.64</v>
      </c>
      <c r="P1254" s="5"/>
      <c r="Q1254" s="5"/>
      <c r="R1254" s="5">
        <v>1</v>
      </c>
      <c r="S1254" s="5">
        <v>700</v>
      </c>
      <c r="T1254" s="5"/>
      <c r="U1254" s="5">
        <v>1400</v>
      </c>
      <c r="V1254" s="15">
        <f>0.7457*1*R1254</f>
        <v>0.74570000000000003</v>
      </c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8"/>
      <c r="AP1254" s="8"/>
      <c r="AQ1254" s="8"/>
      <c r="AR1254" s="8"/>
      <c r="AS1254" s="8"/>
      <c r="AT1254" s="8"/>
      <c r="AU1254" s="8"/>
      <c r="AV1254" s="8"/>
      <c r="AW1254" s="8"/>
      <c r="AX1254" s="8"/>
      <c r="AY1254" s="8"/>
      <c r="AZ1254" s="8"/>
      <c r="BA1254" s="8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8"/>
      <c r="BS1254" s="8"/>
      <c r="BT1254" s="8"/>
      <c r="BU1254" s="8"/>
      <c r="BV1254" s="8"/>
      <c r="BW1254" s="8"/>
      <c r="BX1254" s="8"/>
      <c r="BY1254" s="8"/>
      <c r="BZ1254" s="8"/>
      <c r="CA1254" s="8"/>
      <c r="CB1254" s="8"/>
      <c r="CC1254" s="8"/>
      <c r="CD1254" s="8"/>
      <c r="CE1254" s="8"/>
      <c r="CF1254" s="8"/>
      <c r="CG1254" s="8"/>
      <c r="CH1254" s="8"/>
      <c r="CI1254" s="8"/>
      <c r="CJ1254" s="8"/>
      <c r="CK1254" s="8"/>
      <c r="CL1254" s="8"/>
      <c r="CM1254" s="8"/>
      <c r="CN1254" s="8"/>
      <c r="CO1254" s="8"/>
      <c r="CP1254" s="8"/>
      <c r="CQ1254" s="8"/>
      <c r="CR1254" s="8"/>
      <c r="CS1254" s="8"/>
      <c r="CT1254" s="8"/>
      <c r="CU1254" s="8"/>
      <c r="CV1254" s="8"/>
      <c r="CW1254" s="8"/>
      <c r="CX1254" s="8"/>
      <c r="CY1254" s="8"/>
      <c r="CZ1254" s="8"/>
      <c r="DA1254" s="8"/>
      <c r="DB1254" s="8"/>
      <c r="DC1254" s="8"/>
      <c r="DD1254" s="8"/>
      <c r="DE1254" s="8"/>
      <c r="DF1254" s="8"/>
      <c r="DG1254" s="8"/>
      <c r="DH1254" s="8"/>
      <c r="DI1254" s="8"/>
      <c r="DJ1254" s="8"/>
      <c r="DK1254" s="8"/>
      <c r="DL1254" s="8"/>
      <c r="DM1254" s="8"/>
      <c r="DN1254" s="8"/>
      <c r="DO1254" s="8"/>
      <c r="DP1254" s="8"/>
      <c r="DQ1254" s="8"/>
      <c r="DR1254" s="8"/>
      <c r="DS1254" s="8"/>
      <c r="DT1254" s="8"/>
      <c r="DU1254" s="8"/>
      <c r="DV1254" s="8"/>
      <c r="DW1254" s="8"/>
      <c r="DX1254" s="8"/>
      <c r="DY1254" s="8"/>
      <c r="DZ1254" s="8"/>
      <c r="EA1254" s="8"/>
      <c r="EB1254" s="8"/>
      <c r="EC1254" s="8"/>
      <c r="ED1254" s="8"/>
      <c r="EE1254" s="8"/>
      <c r="EF1254" s="8"/>
      <c r="EG1254" s="8"/>
      <c r="EH1254" s="8"/>
      <c r="EI1254" s="8"/>
      <c r="EJ1254" s="8"/>
      <c r="EK1254" s="8"/>
      <c r="EL1254" s="8"/>
      <c r="EM1254" s="8"/>
      <c r="EN1254" s="8"/>
      <c r="EO1254" s="8"/>
      <c r="EP1254" s="8"/>
      <c r="EQ1254" s="8"/>
      <c r="ER1254" s="8"/>
      <c r="ES1254" s="8"/>
      <c r="ET1254" s="8"/>
      <c r="EU1254" s="8"/>
      <c r="EV1254" s="8"/>
      <c r="EW1254" s="8"/>
      <c r="EX1254" s="8"/>
      <c r="EY1254" s="8"/>
      <c r="EZ1254" s="8"/>
      <c r="FA1254" s="8"/>
      <c r="FB1254" s="8"/>
      <c r="FC1254" s="8"/>
      <c r="FD1254" s="8"/>
      <c r="FE1254" s="8"/>
      <c r="FF1254" s="8"/>
      <c r="FG1254" s="8"/>
      <c r="FH1254" s="8"/>
      <c r="FI1254" s="8"/>
      <c r="FJ1254" s="8"/>
      <c r="FK1254" s="8"/>
      <c r="FL1254" s="8"/>
      <c r="FM1254" s="8"/>
      <c r="FN1254" s="8"/>
      <c r="FO1254" s="8"/>
      <c r="FP1254" s="8"/>
      <c r="FQ1254" s="8"/>
      <c r="FR1254" s="8"/>
      <c r="FS1254" s="8"/>
      <c r="FT1254" s="8"/>
      <c r="FU1254" s="8"/>
      <c r="FV1254" s="8"/>
      <c r="FW1254" s="8"/>
      <c r="FX1254" s="8"/>
      <c r="FY1254" s="8"/>
      <c r="FZ1254" s="8"/>
      <c r="GA1254" s="8"/>
      <c r="GB1254" s="8"/>
      <c r="GC1254" s="8"/>
      <c r="GD1254" s="8"/>
      <c r="GE1254" s="8"/>
      <c r="GF1254" s="8"/>
      <c r="GG1254" s="8"/>
      <c r="GH1254" s="8"/>
      <c r="GI1254" s="8"/>
      <c r="GJ1254" s="8"/>
      <c r="GK1254" s="8"/>
      <c r="GL1254" s="8"/>
      <c r="GM1254" s="8"/>
      <c r="GN1254" s="8"/>
      <c r="GO1254" s="8"/>
      <c r="GP1254" s="8"/>
      <c r="GQ1254" s="8"/>
      <c r="GR1254" s="8"/>
      <c r="GS1254" s="8"/>
      <c r="GT1254" s="8"/>
      <c r="GU1254" s="8"/>
      <c r="GV1254" s="8"/>
      <c r="GW1254" s="8"/>
      <c r="GX1254" s="8"/>
      <c r="GY1254" s="8"/>
      <c r="GZ1254" s="8"/>
      <c r="HA1254" s="8"/>
      <c r="HB1254" s="8"/>
      <c r="HC1254" s="8"/>
      <c r="HD1254" s="8"/>
      <c r="HE1254" s="8"/>
      <c r="HF1254" s="8"/>
      <c r="HG1254" s="8"/>
      <c r="HH1254" s="8"/>
      <c r="HI1254" s="8"/>
      <c r="HJ1254" s="8"/>
      <c r="HK1254" s="8"/>
      <c r="HL1254" s="8"/>
      <c r="HM1254" s="8"/>
      <c r="HN1254" s="8"/>
      <c r="HO1254" s="8"/>
      <c r="HP1254" s="8"/>
      <c r="HQ1254" s="8"/>
      <c r="HR1254" s="8"/>
      <c r="HS1254" s="8"/>
      <c r="HT1254" s="8"/>
      <c r="HU1254" s="8"/>
      <c r="HV1254" s="8"/>
      <c r="HW1254" s="8"/>
      <c r="HX1254" s="8"/>
      <c r="HY1254" s="8"/>
      <c r="HZ1254" s="8"/>
      <c r="IA1254" s="8"/>
      <c r="IB1254" s="8"/>
      <c r="IC1254" s="8"/>
      <c r="ID1254" s="8"/>
      <c r="IE1254" s="8"/>
      <c r="IF1254" s="8"/>
    </row>
    <row r="1255" spans="1:240" ht="30" customHeight="1">
      <c r="A1255" s="5">
        <v>1253</v>
      </c>
      <c r="B1255" s="5"/>
      <c r="C1255" s="5"/>
      <c r="D1255" s="5" t="s">
        <v>68</v>
      </c>
      <c r="E1255" s="5">
        <v>1200</v>
      </c>
      <c r="F1255" s="5">
        <v>900</v>
      </c>
      <c r="G1255" s="5">
        <v>1980</v>
      </c>
      <c r="H1255" s="5">
        <v>344</v>
      </c>
      <c r="I1255" s="5" t="s">
        <v>13</v>
      </c>
      <c r="J1255" s="15">
        <f>4*20/4.4</f>
        <v>18.18181818181818</v>
      </c>
      <c r="K1255" s="17">
        <f t="shared" si="38"/>
        <v>4.1670000000000016</v>
      </c>
      <c r="L1255" s="15">
        <f>20*3782*4.1868/3600</f>
        <v>87.969319999999996</v>
      </c>
      <c r="M1255" s="5">
        <f t="shared" si="39"/>
        <v>3.8890000000000029</v>
      </c>
      <c r="N1255" s="5"/>
      <c r="O1255" s="5">
        <f>5000*1.6978</f>
        <v>8489</v>
      </c>
      <c r="P1255" s="5"/>
      <c r="Q1255" s="5"/>
      <c r="R1255" s="5">
        <v>1</v>
      </c>
      <c r="S1255" s="5">
        <v>700</v>
      </c>
      <c r="T1255" s="5"/>
      <c r="U1255" s="5">
        <v>1400</v>
      </c>
      <c r="V1255" s="15">
        <f>0.7457*1.5*R1255</f>
        <v>1.1185499999999999</v>
      </c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8"/>
      <c r="BS1255" s="8"/>
      <c r="BT1255" s="8"/>
      <c r="BU1255" s="8"/>
      <c r="BV1255" s="8"/>
      <c r="BW1255" s="8"/>
      <c r="BX1255" s="8"/>
      <c r="BY1255" s="8"/>
      <c r="BZ1255" s="8"/>
      <c r="CA1255" s="8"/>
      <c r="CB1255" s="8"/>
      <c r="CC1255" s="8"/>
      <c r="CD1255" s="8"/>
      <c r="CE1255" s="8"/>
      <c r="CF1255" s="8"/>
      <c r="CG1255" s="8"/>
      <c r="CH1255" s="8"/>
      <c r="CI1255" s="8"/>
      <c r="CJ1255" s="8"/>
      <c r="CK1255" s="8"/>
      <c r="CL1255" s="8"/>
      <c r="CM1255" s="8"/>
      <c r="CN1255" s="8"/>
      <c r="CO1255" s="8"/>
      <c r="CP1255" s="8"/>
      <c r="CQ1255" s="8"/>
      <c r="CR1255" s="8"/>
      <c r="CS1255" s="8"/>
      <c r="CT1255" s="8"/>
      <c r="CU1255" s="8"/>
      <c r="CV1255" s="8"/>
      <c r="CW1255" s="8"/>
      <c r="CX1255" s="8"/>
      <c r="CY1255" s="8"/>
      <c r="CZ1255" s="8"/>
      <c r="DA1255" s="8"/>
      <c r="DB1255" s="8"/>
      <c r="DC1255" s="8"/>
      <c r="DD1255" s="8"/>
      <c r="DE1255" s="8"/>
      <c r="DF1255" s="8"/>
      <c r="DG1255" s="8"/>
      <c r="DH1255" s="8"/>
      <c r="DI1255" s="8"/>
      <c r="DJ1255" s="8"/>
      <c r="DK1255" s="8"/>
      <c r="DL1255" s="8"/>
      <c r="DM1255" s="8"/>
      <c r="DN1255" s="8"/>
      <c r="DO1255" s="8"/>
      <c r="DP1255" s="8"/>
      <c r="DQ1255" s="8"/>
      <c r="DR1255" s="8"/>
      <c r="DS1255" s="8"/>
      <c r="DT1255" s="8"/>
      <c r="DU1255" s="8"/>
      <c r="DV1255" s="8"/>
      <c r="DW1255" s="8"/>
      <c r="DX1255" s="8"/>
      <c r="DY1255" s="8"/>
      <c r="DZ1255" s="8"/>
      <c r="EA1255" s="8"/>
      <c r="EB1255" s="8"/>
      <c r="EC1255" s="8"/>
      <c r="ED1255" s="8"/>
      <c r="EE1255" s="8"/>
      <c r="EF1255" s="8"/>
      <c r="EG1255" s="8"/>
      <c r="EH1255" s="8"/>
      <c r="EI1255" s="8"/>
      <c r="EJ1255" s="8"/>
      <c r="EK1255" s="8"/>
      <c r="EL1255" s="8"/>
      <c r="EM1255" s="8"/>
      <c r="EN1255" s="8"/>
      <c r="EO1255" s="8"/>
      <c r="EP1255" s="8"/>
      <c r="EQ1255" s="8"/>
      <c r="ER1255" s="8"/>
      <c r="ES1255" s="8"/>
      <c r="ET1255" s="8"/>
      <c r="EU1255" s="8"/>
      <c r="EV1255" s="8"/>
      <c r="EW1255" s="8"/>
      <c r="EX1255" s="8"/>
      <c r="EY1255" s="8"/>
      <c r="EZ1255" s="8"/>
      <c r="FA1255" s="8"/>
      <c r="FB1255" s="8"/>
      <c r="FC1255" s="8"/>
      <c r="FD1255" s="8"/>
      <c r="FE1255" s="8"/>
      <c r="FF1255" s="8"/>
      <c r="FG1255" s="8"/>
      <c r="FH1255" s="8"/>
      <c r="FI1255" s="8"/>
      <c r="FJ1255" s="8"/>
      <c r="FK1255" s="8"/>
      <c r="FL1255" s="8"/>
      <c r="FM1255" s="8"/>
      <c r="FN1255" s="8"/>
      <c r="FO1255" s="8"/>
      <c r="FP1255" s="8"/>
      <c r="FQ1255" s="8"/>
      <c r="FR1255" s="8"/>
      <c r="FS1255" s="8"/>
      <c r="FT1255" s="8"/>
      <c r="FU1255" s="8"/>
      <c r="FV1255" s="8"/>
      <c r="FW1255" s="8"/>
      <c r="FX1255" s="8"/>
      <c r="FY1255" s="8"/>
      <c r="FZ1255" s="8"/>
      <c r="GA1255" s="8"/>
      <c r="GB1255" s="8"/>
      <c r="GC1255" s="8"/>
      <c r="GD1255" s="8"/>
      <c r="GE1255" s="8"/>
      <c r="GF1255" s="8"/>
      <c r="GG1255" s="8"/>
      <c r="GH1255" s="8"/>
      <c r="GI1255" s="8"/>
      <c r="GJ1255" s="8"/>
      <c r="GK1255" s="8"/>
      <c r="GL1255" s="8"/>
      <c r="GM1255" s="8"/>
      <c r="GN1255" s="8"/>
      <c r="GO1255" s="8"/>
      <c r="GP1255" s="8"/>
      <c r="GQ1255" s="8"/>
      <c r="GR1255" s="8"/>
      <c r="GS1255" s="8"/>
      <c r="GT1255" s="8"/>
      <c r="GU1255" s="8"/>
      <c r="GV1255" s="8"/>
      <c r="GW1255" s="8"/>
      <c r="GX1255" s="8"/>
      <c r="GY1255" s="8"/>
      <c r="GZ1255" s="8"/>
      <c r="HA1255" s="8"/>
      <c r="HB1255" s="8"/>
      <c r="HC1255" s="8"/>
      <c r="HD1255" s="8"/>
      <c r="HE1255" s="8"/>
      <c r="HF1255" s="8"/>
      <c r="HG1255" s="8"/>
      <c r="HH1255" s="8"/>
      <c r="HI1255" s="8"/>
      <c r="HJ1255" s="8"/>
      <c r="HK1255" s="8"/>
      <c r="HL1255" s="8"/>
      <c r="HM1255" s="8"/>
      <c r="HN1255" s="8"/>
      <c r="HO1255" s="8"/>
      <c r="HP1255" s="8"/>
      <c r="HQ1255" s="8"/>
      <c r="HR1255" s="8"/>
      <c r="HS1255" s="8"/>
      <c r="HT1255" s="8"/>
      <c r="HU1255" s="8"/>
      <c r="HV1255" s="8"/>
      <c r="HW1255" s="8"/>
      <c r="HX1255" s="8"/>
      <c r="HY1255" s="8"/>
      <c r="HZ1255" s="8"/>
      <c r="IA1255" s="8"/>
      <c r="IB1255" s="8"/>
      <c r="IC1255" s="8"/>
      <c r="ID1255" s="8"/>
      <c r="IE1255" s="8"/>
      <c r="IF1255" s="8"/>
    </row>
    <row r="1256" spans="1:240" ht="30" customHeight="1">
      <c r="A1256" s="5">
        <v>1254</v>
      </c>
      <c r="B1256" s="5"/>
      <c r="C1256" s="5"/>
      <c r="D1256" s="5" t="s">
        <v>68</v>
      </c>
      <c r="E1256" s="5">
        <v>1200</v>
      </c>
      <c r="F1256" s="5">
        <v>1200</v>
      </c>
      <c r="G1256" s="5">
        <v>1980</v>
      </c>
      <c r="H1256" s="5">
        <v>437</v>
      </c>
      <c r="I1256" s="5" t="s">
        <v>13</v>
      </c>
      <c r="J1256" s="15">
        <f>4*25/4.4</f>
        <v>22.727272727272727</v>
      </c>
      <c r="K1256" s="17">
        <f t="shared" si="38"/>
        <v>4.1670000000000016</v>
      </c>
      <c r="L1256" s="15">
        <f>25*3782*4.1868/3600</f>
        <v>109.96165000000001</v>
      </c>
      <c r="M1256" s="5">
        <f t="shared" si="39"/>
        <v>3.8890000000000029</v>
      </c>
      <c r="N1256" s="5"/>
      <c r="O1256" s="5">
        <f>6780*1.6978</f>
        <v>11511.084000000001</v>
      </c>
      <c r="P1256" s="5"/>
      <c r="Q1256" s="5"/>
      <c r="R1256" s="5">
        <v>1</v>
      </c>
      <c r="S1256" s="5">
        <v>700</v>
      </c>
      <c r="T1256" s="5"/>
      <c r="U1256" s="5">
        <v>1400</v>
      </c>
      <c r="V1256" s="15">
        <f>0.7457*1.5*R1256</f>
        <v>1.1185499999999999</v>
      </c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8"/>
      <c r="BS1256" s="8"/>
      <c r="BT1256" s="8"/>
      <c r="BU1256" s="8"/>
      <c r="BV1256" s="8"/>
      <c r="BW1256" s="8"/>
      <c r="BX1256" s="8"/>
      <c r="BY1256" s="8"/>
      <c r="BZ1256" s="8"/>
      <c r="CA1256" s="8"/>
      <c r="CB1256" s="8"/>
      <c r="CC1256" s="8"/>
      <c r="CD1256" s="8"/>
      <c r="CE1256" s="8"/>
      <c r="CF1256" s="8"/>
      <c r="CG1256" s="8"/>
      <c r="CH1256" s="8"/>
      <c r="CI1256" s="8"/>
      <c r="CJ1256" s="8"/>
      <c r="CK1256" s="8"/>
      <c r="CL1256" s="8"/>
      <c r="CM1256" s="8"/>
      <c r="CN1256" s="8"/>
      <c r="CO1256" s="8"/>
      <c r="CP1256" s="8"/>
      <c r="CQ1256" s="8"/>
      <c r="CR1256" s="8"/>
      <c r="CS1256" s="8"/>
      <c r="CT1256" s="8"/>
      <c r="CU1256" s="8"/>
      <c r="CV1256" s="8"/>
      <c r="CW1256" s="8"/>
      <c r="CX1256" s="8"/>
      <c r="CY1256" s="8"/>
      <c r="CZ1256" s="8"/>
      <c r="DA1256" s="8"/>
      <c r="DB1256" s="8"/>
      <c r="DC1256" s="8"/>
      <c r="DD1256" s="8"/>
      <c r="DE1256" s="8"/>
      <c r="DF1256" s="8"/>
      <c r="DG1256" s="8"/>
      <c r="DH1256" s="8"/>
      <c r="DI1256" s="8"/>
      <c r="DJ1256" s="8"/>
      <c r="DK1256" s="8"/>
      <c r="DL1256" s="8"/>
      <c r="DM1256" s="8"/>
      <c r="DN1256" s="8"/>
      <c r="DO1256" s="8"/>
      <c r="DP1256" s="8"/>
      <c r="DQ1256" s="8"/>
      <c r="DR1256" s="8"/>
      <c r="DS1256" s="8"/>
      <c r="DT1256" s="8"/>
      <c r="DU1256" s="8"/>
      <c r="DV1256" s="8"/>
      <c r="DW1256" s="8"/>
      <c r="DX1256" s="8"/>
      <c r="DY1256" s="8"/>
      <c r="DZ1256" s="8"/>
      <c r="EA1256" s="8"/>
      <c r="EB1256" s="8"/>
      <c r="EC1256" s="8"/>
      <c r="ED1256" s="8"/>
      <c r="EE1256" s="8"/>
      <c r="EF1256" s="8"/>
      <c r="EG1256" s="8"/>
      <c r="EH1256" s="8"/>
      <c r="EI1256" s="8"/>
      <c r="EJ1256" s="8"/>
      <c r="EK1256" s="8"/>
      <c r="EL1256" s="8"/>
      <c r="EM1256" s="8"/>
      <c r="EN1256" s="8"/>
      <c r="EO1256" s="8"/>
      <c r="EP1256" s="8"/>
      <c r="EQ1256" s="8"/>
      <c r="ER1256" s="8"/>
      <c r="ES1256" s="8"/>
      <c r="ET1256" s="8"/>
      <c r="EU1256" s="8"/>
      <c r="EV1256" s="8"/>
      <c r="EW1256" s="8"/>
      <c r="EX1256" s="8"/>
      <c r="EY1256" s="8"/>
      <c r="EZ1256" s="8"/>
      <c r="FA1256" s="8"/>
      <c r="FB1256" s="8"/>
      <c r="FC1256" s="8"/>
      <c r="FD1256" s="8"/>
      <c r="FE1256" s="8"/>
      <c r="FF1256" s="8"/>
      <c r="FG1256" s="8"/>
      <c r="FH1256" s="8"/>
      <c r="FI1256" s="8"/>
      <c r="FJ1256" s="8"/>
      <c r="FK1256" s="8"/>
      <c r="FL1256" s="8"/>
      <c r="FM1256" s="8"/>
      <c r="FN1256" s="8"/>
      <c r="FO1256" s="8"/>
      <c r="FP1256" s="8"/>
      <c r="FQ1256" s="8"/>
      <c r="FR1256" s="8"/>
      <c r="FS1256" s="8"/>
      <c r="FT1256" s="8"/>
      <c r="FU1256" s="8"/>
      <c r="FV1256" s="8"/>
      <c r="FW1256" s="8"/>
      <c r="FX1256" s="8"/>
      <c r="FY1256" s="8"/>
      <c r="FZ1256" s="8"/>
      <c r="GA1256" s="8"/>
      <c r="GB1256" s="8"/>
      <c r="GC1256" s="8"/>
      <c r="GD1256" s="8"/>
      <c r="GE1256" s="8"/>
      <c r="GF1256" s="8"/>
      <c r="GG1256" s="8"/>
      <c r="GH1256" s="8"/>
      <c r="GI1256" s="8"/>
      <c r="GJ1256" s="8"/>
      <c r="GK1256" s="8"/>
      <c r="GL1256" s="8"/>
      <c r="GM1256" s="8"/>
      <c r="GN1256" s="8"/>
      <c r="GO1256" s="8"/>
      <c r="GP1256" s="8"/>
      <c r="GQ1256" s="8"/>
      <c r="GR1256" s="8"/>
      <c r="GS1256" s="8"/>
      <c r="GT1256" s="8"/>
      <c r="GU1256" s="8"/>
      <c r="GV1256" s="8"/>
      <c r="GW1256" s="8"/>
      <c r="GX1256" s="8"/>
      <c r="GY1256" s="8"/>
      <c r="GZ1256" s="8"/>
      <c r="HA1256" s="8"/>
      <c r="HB1256" s="8"/>
      <c r="HC1256" s="8"/>
      <c r="HD1256" s="8"/>
      <c r="HE1256" s="8"/>
      <c r="HF1256" s="8"/>
      <c r="HG1256" s="8"/>
      <c r="HH1256" s="8"/>
      <c r="HI1256" s="8"/>
      <c r="HJ1256" s="8"/>
      <c r="HK1256" s="8"/>
      <c r="HL1256" s="8"/>
      <c r="HM1256" s="8"/>
      <c r="HN1256" s="8"/>
      <c r="HO1256" s="8"/>
      <c r="HP1256" s="8"/>
      <c r="HQ1256" s="8"/>
      <c r="HR1256" s="8"/>
      <c r="HS1256" s="8"/>
      <c r="HT1256" s="8"/>
      <c r="HU1256" s="8"/>
      <c r="HV1256" s="8"/>
      <c r="HW1256" s="8"/>
      <c r="HX1256" s="8"/>
      <c r="HY1256" s="8"/>
      <c r="HZ1256" s="8"/>
      <c r="IA1256" s="8"/>
      <c r="IB1256" s="8"/>
      <c r="IC1256" s="8"/>
      <c r="ID1256" s="8"/>
      <c r="IE1256" s="8"/>
      <c r="IF1256" s="8"/>
    </row>
    <row r="1257" spans="1:240" ht="30" customHeight="1">
      <c r="A1257" s="5">
        <v>1255</v>
      </c>
      <c r="B1257" s="5"/>
      <c r="C1257" s="5"/>
      <c r="D1257" s="5" t="s">
        <v>68</v>
      </c>
      <c r="E1257" s="5">
        <v>1350</v>
      </c>
      <c r="F1257" s="5">
        <v>1200</v>
      </c>
      <c r="G1257" s="5">
        <v>1980</v>
      </c>
      <c r="H1257" s="5">
        <v>499</v>
      </c>
      <c r="I1257" s="5" t="s">
        <v>13</v>
      </c>
      <c r="J1257" s="15">
        <f>4*30/4.4</f>
        <v>27.27272727272727</v>
      </c>
      <c r="K1257" s="17">
        <f t="shared" si="38"/>
        <v>4.1670000000000016</v>
      </c>
      <c r="L1257" s="15">
        <f>30*3782*4.1868/3600</f>
        <v>131.95398</v>
      </c>
      <c r="M1257" s="5">
        <f t="shared" si="39"/>
        <v>3.8890000000000029</v>
      </c>
      <c r="N1257" s="5"/>
      <c r="O1257" s="5">
        <f>7500*1.6978</f>
        <v>12733.5</v>
      </c>
      <c r="P1257" s="5"/>
      <c r="Q1257" s="5"/>
      <c r="R1257" s="5">
        <v>1</v>
      </c>
      <c r="S1257" s="5">
        <v>700</v>
      </c>
      <c r="T1257" s="5"/>
      <c r="U1257" s="5">
        <v>1400</v>
      </c>
      <c r="V1257" s="15">
        <f>0.7457*2*R1257</f>
        <v>1.4914000000000001</v>
      </c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8"/>
      <c r="AP1257" s="8"/>
      <c r="AQ1257" s="8"/>
      <c r="AR1257" s="8"/>
      <c r="AS1257" s="8"/>
      <c r="AT1257" s="8"/>
      <c r="AU1257" s="8"/>
      <c r="AV1257" s="8"/>
      <c r="AW1257" s="8"/>
      <c r="AX1257" s="8"/>
      <c r="AY1257" s="8"/>
      <c r="AZ1257" s="8"/>
      <c r="BA1257" s="8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8"/>
      <c r="BS1257" s="8"/>
      <c r="BT1257" s="8"/>
      <c r="BU1257" s="8"/>
      <c r="BV1257" s="8"/>
      <c r="BW1257" s="8"/>
      <c r="BX1257" s="8"/>
      <c r="BY1257" s="8"/>
      <c r="BZ1257" s="8"/>
      <c r="CA1257" s="8"/>
      <c r="CB1257" s="8"/>
      <c r="CC1257" s="8"/>
      <c r="CD1257" s="8"/>
      <c r="CE1257" s="8"/>
      <c r="CF1257" s="8"/>
      <c r="CG1257" s="8"/>
      <c r="CH1257" s="8"/>
      <c r="CI1257" s="8"/>
      <c r="CJ1257" s="8"/>
      <c r="CK1257" s="8"/>
      <c r="CL1257" s="8"/>
      <c r="CM1257" s="8"/>
      <c r="CN1257" s="8"/>
      <c r="CO1257" s="8"/>
      <c r="CP1257" s="8"/>
      <c r="CQ1257" s="8"/>
      <c r="CR1257" s="8"/>
      <c r="CS1257" s="8"/>
      <c r="CT1257" s="8"/>
      <c r="CU1257" s="8"/>
      <c r="CV1257" s="8"/>
      <c r="CW1257" s="8"/>
      <c r="CX1257" s="8"/>
      <c r="CY1257" s="8"/>
      <c r="CZ1257" s="8"/>
      <c r="DA1257" s="8"/>
      <c r="DB1257" s="8"/>
      <c r="DC1257" s="8"/>
      <c r="DD1257" s="8"/>
      <c r="DE1257" s="8"/>
      <c r="DF1257" s="8"/>
      <c r="DG1257" s="8"/>
      <c r="DH1257" s="8"/>
      <c r="DI1257" s="8"/>
      <c r="DJ1257" s="8"/>
      <c r="DK1257" s="8"/>
      <c r="DL1257" s="8"/>
      <c r="DM1257" s="8"/>
      <c r="DN1257" s="8"/>
      <c r="DO1257" s="8"/>
      <c r="DP1257" s="8"/>
      <c r="DQ1257" s="8"/>
      <c r="DR1257" s="8"/>
      <c r="DS1257" s="8"/>
      <c r="DT1257" s="8"/>
      <c r="DU1257" s="8"/>
      <c r="DV1257" s="8"/>
      <c r="DW1257" s="8"/>
      <c r="DX1257" s="8"/>
      <c r="DY1257" s="8"/>
      <c r="DZ1257" s="8"/>
      <c r="EA1257" s="8"/>
      <c r="EB1257" s="8"/>
      <c r="EC1257" s="8"/>
      <c r="ED1257" s="8"/>
      <c r="EE1257" s="8"/>
      <c r="EF1257" s="8"/>
      <c r="EG1257" s="8"/>
      <c r="EH1257" s="8"/>
      <c r="EI1257" s="8"/>
      <c r="EJ1257" s="8"/>
      <c r="EK1257" s="8"/>
      <c r="EL1257" s="8"/>
      <c r="EM1257" s="8"/>
      <c r="EN1257" s="8"/>
      <c r="EO1257" s="8"/>
      <c r="EP1257" s="8"/>
      <c r="EQ1257" s="8"/>
      <c r="ER1257" s="8"/>
      <c r="ES1257" s="8"/>
      <c r="ET1257" s="8"/>
      <c r="EU1257" s="8"/>
      <c r="EV1257" s="8"/>
      <c r="EW1257" s="8"/>
      <c r="EX1257" s="8"/>
      <c r="EY1257" s="8"/>
      <c r="EZ1257" s="8"/>
      <c r="FA1257" s="8"/>
      <c r="FB1257" s="8"/>
      <c r="FC1257" s="8"/>
      <c r="FD1257" s="8"/>
      <c r="FE1257" s="8"/>
      <c r="FF1257" s="8"/>
      <c r="FG1257" s="8"/>
      <c r="FH1257" s="8"/>
      <c r="FI1257" s="8"/>
      <c r="FJ1257" s="8"/>
      <c r="FK1257" s="8"/>
      <c r="FL1257" s="8"/>
      <c r="FM1257" s="8"/>
      <c r="FN1257" s="8"/>
      <c r="FO1257" s="8"/>
      <c r="FP1257" s="8"/>
      <c r="FQ1257" s="8"/>
      <c r="FR1257" s="8"/>
      <c r="FS1257" s="8"/>
      <c r="FT1257" s="8"/>
      <c r="FU1257" s="8"/>
      <c r="FV1257" s="8"/>
      <c r="FW1257" s="8"/>
      <c r="FX1257" s="8"/>
      <c r="FY1257" s="8"/>
      <c r="FZ1257" s="8"/>
      <c r="GA1257" s="8"/>
      <c r="GB1257" s="8"/>
      <c r="GC1257" s="8"/>
      <c r="GD1257" s="8"/>
      <c r="GE1257" s="8"/>
      <c r="GF1257" s="8"/>
      <c r="GG1257" s="8"/>
      <c r="GH1257" s="8"/>
      <c r="GI1257" s="8"/>
      <c r="GJ1257" s="8"/>
      <c r="GK1257" s="8"/>
      <c r="GL1257" s="8"/>
      <c r="GM1257" s="8"/>
      <c r="GN1257" s="8"/>
      <c r="GO1257" s="8"/>
      <c r="GP1257" s="8"/>
      <c r="GQ1257" s="8"/>
      <c r="GR1257" s="8"/>
      <c r="GS1257" s="8"/>
      <c r="GT1257" s="8"/>
      <c r="GU1257" s="8"/>
      <c r="GV1257" s="8"/>
      <c r="GW1257" s="8"/>
      <c r="GX1257" s="8"/>
      <c r="GY1257" s="8"/>
      <c r="GZ1257" s="8"/>
      <c r="HA1257" s="8"/>
      <c r="HB1257" s="8"/>
      <c r="HC1257" s="8"/>
      <c r="HD1257" s="8"/>
      <c r="HE1257" s="8"/>
      <c r="HF1257" s="8"/>
      <c r="HG1257" s="8"/>
      <c r="HH1257" s="8"/>
      <c r="HI1257" s="8"/>
      <c r="HJ1257" s="8"/>
      <c r="HK1257" s="8"/>
      <c r="HL1257" s="8"/>
      <c r="HM1257" s="8"/>
      <c r="HN1257" s="8"/>
      <c r="HO1257" s="8"/>
      <c r="HP1257" s="8"/>
      <c r="HQ1257" s="8"/>
      <c r="HR1257" s="8"/>
      <c r="HS1257" s="8"/>
      <c r="HT1257" s="8"/>
      <c r="HU1257" s="8"/>
      <c r="HV1257" s="8"/>
      <c r="HW1257" s="8"/>
      <c r="HX1257" s="8"/>
      <c r="HY1257" s="8"/>
      <c r="HZ1257" s="8"/>
      <c r="IA1257" s="8"/>
      <c r="IB1257" s="8"/>
      <c r="IC1257" s="8"/>
      <c r="ID1257" s="8"/>
      <c r="IE1257" s="8"/>
      <c r="IF1257" s="8"/>
    </row>
    <row r="1258" spans="1:240" ht="30" customHeight="1">
      <c r="A1258" s="5">
        <v>1256</v>
      </c>
      <c r="B1258" s="5"/>
      <c r="C1258" s="5"/>
      <c r="D1258" s="5" t="s">
        <v>68</v>
      </c>
      <c r="E1258" s="5">
        <v>1500</v>
      </c>
      <c r="F1258" s="5">
        <v>1200</v>
      </c>
      <c r="G1258" s="5">
        <v>1980</v>
      </c>
      <c r="H1258" s="5">
        <v>610</v>
      </c>
      <c r="I1258" s="5" t="s">
        <v>13</v>
      </c>
      <c r="J1258" s="15">
        <f>4*35/4.4</f>
        <v>31.818181818181817</v>
      </c>
      <c r="K1258" s="17">
        <f t="shared" si="38"/>
        <v>4.1670000000000016</v>
      </c>
      <c r="L1258" s="15">
        <f>35*3782*4.1868/3600</f>
        <v>153.94631000000001</v>
      </c>
      <c r="M1258" s="5">
        <f t="shared" si="39"/>
        <v>3.8890000000000029</v>
      </c>
      <c r="N1258" s="5"/>
      <c r="O1258" s="5">
        <f>8350*1.6978</f>
        <v>14176.63</v>
      </c>
      <c r="P1258" s="5"/>
      <c r="Q1258" s="5"/>
      <c r="R1258" s="5">
        <v>1</v>
      </c>
      <c r="S1258" s="5">
        <v>700</v>
      </c>
      <c r="T1258" s="5"/>
      <c r="U1258" s="5">
        <v>1400</v>
      </c>
      <c r="V1258" s="15">
        <f>0.7457*2*R1258</f>
        <v>1.4914000000000001</v>
      </c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8"/>
      <c r="BS1258" s="8"/>
      <c r="BT1258" s="8"/>
      <c r="BU1258" s="8"/>
      <c r="BV1258" s="8"/>
      <c r="BW1258" s="8"/>
      <c r="BX1258" s="8"/>
      <c r="BY1258" s="8"/>
      <c r="BZ1258" s="8"/>
      <c r="CA1258" s="8"/>
      <c r="CB1258" s="8"/>
      <c r="CC1258" s="8"/>
      <c r="CD1258" s="8"/>
      <c r="CE1258" s="8"/>
      <c r="CF1258" s="8"/>
      <c r="CG1258" s="8"/>
      <c r="CH1258" s="8"/>
      <c r="CI1258" s="8"/>
      <c r="CJ1258" s="8"/>
      <c r="CK1258" s="8"/>
      <c r="CL1258" s="8"/>
      <c r="CM1258" s="8"/>
      <c r="CN1258" s="8"/>
      <c r="CO1258" s="8"/>
      <c r="CP1258" s="8"/>
      <c r="CQ1258" s="8"/>
      <c r="CR1258" s="8"/>
      <c r="CS1258" s="8"/>
      <c r="CT1258" s="8"/>
      <c r="CU1258" s="8"/>
      <c r="CV1258" s="8"/>
      <c r="CW1258" s="8"/>
      <c r="CX1258" s="8"/>
      <c r="CY1258" s="8"/>
      <c r="CZ1258" s="8"/>
      <c r="DA1258" s="8"/>
      <c r="DB1258" s="8"/>
      <c r="DC1258" s="8"/>
      <c r="DD1258" s="8"/>
      <c r="DE1258" s="8"/>
      <c r="DF1258" s="8"/>
      <c r="DG1258" s="8"/>
      <c r="DH1258" s="8"/>
      <c r="DI1258" s="8"/>
      <c r="DJ1258" s="8"/>
      <c r="DK1258" s="8"/>
      <c r="DL1258" s="8"/>
      <c r="DM1258" s="8"/>
      <c r="DN1258" s="8"/>
      <c r="DO1258" s="8"/>
      <c r="DP1258" s="8"/>
      <c r="DQ1258" s="8"/>
      <c r="DR1258" s="8"/>
      <c r="DS1258" s="8"/>
      <c r="DT1258" s="8"/>
      <c r="DU1258" s="8"/>
      <c r="DV1258" s="8"/>
      <c r="DW1258" s="8"/>
      <c r="DX1258" s="8"/>
      <c r="DY1258" s="8"/>
      <c r="DZ1258" s="8"/>
      <c r="EA1258" s="8"/>
      <c r="EB1258" s="8"/>
      <c r="EC1258" s="8"/>
      <c r="ED1258" s="8"/>
      <c r="EE1258" s="8"/>
      <c r="EF1258" s="8"/>
      <c r="EG1258" s="8"/>
      <c r="EH1258" s="8"/>
      <c r="EI1258" s="8"/>
      <c r="EJ1258" s="8"/>
      <c r="EK1258" s="8"/>
      <c r="EL1258" s="8"/>
      <c r="EM1258" s="8"/>
      <c r="EN1258" s="8"/>
      <c r="EO1258" s="8"/>
      <c r="EP1258" s="8"/>
      <c r="EQ1258" s="8"/>
      <c r="ER1258" s="8"/>
      <c r="ES1258" s="8"/>
      <c r="ET1258" s="8"/>
      <c r="EU1258" s="8"/>
      <c r="EV1258" s="8"/>
      <c r="EW1258" s="8"/>
      <c r="EX1258" s="8"/>
      <c r="EY1258" s="8"/>
      <c r="EZ1258" s="8"/>
      <c r="FA1258" s="8"/>
      <c r="FB1258" s="8"/>
      <c r="FC1258" s="8"/>
      <c r="FD1258" s="8"/>
      <c r="FE1258" s="8"/>
      <c r="FF1258" s="8"/>
      <c r="FG1258" s="8"/>
      <c r="FH1258" s="8"/>
      <c r="FI1258" s="8"/>
      <c r="FJ1258" s="8"/>
      <c r="FK1258" s="8"/>
      <c r="FL1258" s="8"/>
      <c r="FM1258" s="8"/>
      <c r="FN1258" s="8"/>
      <c r="FO1258" s="8"/>
      <c r="FP1258" s="8"/>
      <c r="FQ1258" s="8"/>
      <c r="FR1258" s="8"/>
      <c r="FS1258" s="8"/>
      <c r="FT1258" s="8"/>
      <c r="FU1258" s="8"/>
      <c r="FV1258" s="8"/>
      <c r="FW1258" s="8"/>
      <c r="FX1258" s="8"/>
      <c r="FY1258" s="8"/>
      <c r="FZ1258" s="8"/>
      <c r="GA1258" s="8"/>
      <c r="GB1258" s="8"/>
      <c r="GC1258" s="8"/>
      <c r="GD1258" s="8"/>
      <c r="GE1258" s="8"/>
      <c r="GF1258" s="8"/>
      <c r="GG1258" s="8"/>
      <c r="GH1258" s="8"/>
      <c r="GI1258" s="8"/>
      <c r="GJ1258" s="8"/>
      <c r="GK1258" s="8"/>
      <c r="GL1258" s="8"/>
      <c r="GM1258" s="8"/>
      <c r="GN1258" s="8"/>
      <c r="GO1258" s="8"/>
      <c r="GP1258" s="8"/>
      <c r="GQ1258" s="8"/>
      <c r="GR1258" s="8"/>
      <c r="GS1258" s="8"/>
      <c r="GT1258" s="8"/>
      <c r="GU1258" s="8"/>
      <c r="GV1258" s="8"/>
      <c r="GW1258" s="8"/>
      <c r="GX1258" s="8"/>
      <c r="GY1258" s="8"/>
      <c r="GZ1258" s="8"/>
      <c r="HA1258" s="8"/>
      <c r="HB1258" s="8"/>
      <c r="HC1258" s="8"/>
      <c r="HD1258" s="8"/>
      <c r="HE1258" s="8"/>
      <c r="HF1258" s="8"/>
      <c r="HG1258" s="8"/>
      <c r="HH1258" s="8"/>
      <c r="HI1258" s="8"/>
      <c r="HJ1258" s="8"/>
      <c r="HK1258" s="8"/>
      <c r="HL1258" s="8"/>
      <c r="HM1258" s="8"/>
      <c r="HN1258" s="8"/>
      <c r="HO1258" s="8"/>
      <c r="HP1258" s="8"/>
      <c r="HQ1258" s="8"/>
      <c r="HR1258" s="8"/>
      <c r="HS1258" s="8"/>
      <c r="HT1258" s="8"/>
      <c r="HU1258" s="8"/>
      <c r="HV1258" s="8"/>
      <c r="HW1258" s="8"/>
      <c r="HX1258" s="8"/>
      <c r="HY1258" s="8"/>
      <c r="HZ1258" s="8"/>
      <c r="IA1258" s="8"/>
      <c r="IB1258" s="8"/>
      <c r="IC1258" s="8"/>
      <c r="ID1258" s="8"/>
      <c r="IE1258" s="8"/>
      <c r="IF1258" s="8"/>
    </row>
    <row r="1259" spans="1:240" ht="30" customHeight="1">
      <c r="A1259" s="5">
        <v>1257</v>
      </c>
      <c r="B1259" s="5"/>
      <c r="C1259" s="5"/>
      <c r="D1259" s="5" t="s">
        <v>68</v>
      </c>
      <c r="E1259" s="5">
        <v>1500</v>
      </c>
      <c r="F1259" s="5">
        <v>1500</v>
      </c>
      <c r="G1259" s="5">
        <v>1980</v>
      </c>
      <c r="H1259" s="5">
        <v>663</v>
      </c>
      <c r="I1259" s="5" t="s">
        <v>13</v>
      </c>
      <c r="J1259" s="15">
        <f>4*40/4.4</f>
        <v>36.36363636363636</v>
      </c>
      <c r="K1259" s="17">
        <f t="shared" si="38"/>
        <v>4.1670000000000016</v>
      </c>
      <c r="L1259" s="15">
        <f>40*3782*4.1868/3600</f>
        <v>175.93863999999999</v>
      </c>
      <c r="M1259" s="5">
        <f t="shared" si="39"/>
        <v>3.8890000000000029</v>
      </c>
      <c r="N1259" s="5"/>
      <c r="O1259" s="5">
        <f>10500*1.6978</f>
        <v>17826.900000000001</v>
      </c>
      <c r="P1259" s="5"/>
      <c r="Q1259" s="5"/>
      <c r="R1259" s="5">
        <v>1</v>
      </c>
      <c r="S1259" s="5">
        <v>700</v>
      </c>
      <c r="T1259" s="5"/>
      <c r="U1259" s="5">
        <v>1400</v>
      </c>
      <c r="V1259" s="15">
        <f>0.7457*2*R1259</f>
        <v>1.4914000000000001</v>
      </c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8"/>
      <c r="BS1259" s="8"/>
      <c r="BT1259" s="8"/>
      <c r="BU1259" s="8"/>
      <c r="BV1259" s="8"/>
      <c r="BW1259" s="8"/>
      <c r="BX1259" s="8"/>
      <c r="BY1259" s="8"/>
      <c r="BZ1259" s="8"/>
      <c r="CA1259" s="8"/>
      <c r="CB1259" s="8"/>
      <c r="CC1259" s="8"/>
      <c r="CD1259" s="8"/>
      <c r="CE1259" s="8"/>
      <c r="CF1259" s="8"/>
      <c r="CG1259" s="8"/>
      <c r="CH1259" s="8"/>
      <c r="CI1259" s="8"/>
      <c r="CJ1259" s="8"/>
      <c r="CK1259" s="8"/>
      <c r="CL1259" s="8"/>
      <c r="CM1259" s="8"/>
      <c r="CN1259" s="8"/>
      <c r="CO1259" s="8"/>
      <c r="CP1259" s="8"/>
      <c r="CQ1259" s="8"/>
      <c r="CR1259" s="8"/>
      <c r="CS1259" s="8"/>
      <c r="CT1259" s="8"/>
      <c r="CU1259" s="8"/>
      <c r="CV1259" s="8"/>
      <c r="CW1259" s="8"/>
      <c r="CX1259" s="8"/>
      <c r="CY1259" s="8"/>
      <c r="CZ1259" s="8"/>
      <c r="DA1259" s="8"/>
      <c r="DB1259" s="8"/>
      <c r="DC1259" s="8"/>
      <c r="DD1259" s="8"/>
      <c r="DE1259" s="8"/>
      <c r="DF1259" s="8"/>
      <c r="DG1259" s="8"/>
      <c r="DH1259" s="8"/>
      <c r="DI1259" s="8"/>
      <c r="DJ1259" s="8"/>
      <c r="DK1259" s="8"/>
      <c r="DL1259" s="8"/>
      <c r="DM1259" s="8"/>
      <c r="DN1259" s="8"/>
      <c r="DO1259" s="8"/>
      <c r="DP1259" s="8"/>
      <c r="DQ1259" s="8"/>
      <c r="DR1259" s="8"/>
      <c r="DS1259" s="8"/>
      <c r="DT1259" s="8"/>
      <c r="DU1259" s="8"/>
      <c r="DV1259" s="8"/>
      <c r="DW1259" s="8"/>
      <c r="DX1259" s="8"/>
      <c r="DY1259" s="8"/>
      <c r="DZ1259" s="8"/>
      <c r="EA1259" s="8"/>
      <c r="EB1259" s="8"/>
      <c r="EC1259" s="8"/>
      <c r="ED1259" s="8"/>
      <c r="EE1259" s="8"/>
      <c r="EF1259" s="8"/>
      <c r="EG1259" s="8"/>
      <c r="EH1259" s="8"/>
      <c r="EI1259" s="8"/>
      <c r="EJ1259" s="8"/>
      <c r="EK1259" s="8"/>
      <c r="EL1259" s="8"/>
      <c r="EM1259" s="8"/>
      <c r="EN1259" s="8"/>
      <c r="EO1259" s="8"/>
      <c r="EP1259" s="8"/>
      <c r="EQ1259" s="8"/>
      <c r="ER1259" s="8"/>
      <c r="ES1259" s="8"/>
      <c r="ET1259" s="8"/>
      <c r="EU1259" s="8"/>
      <c r="EV1259" s="8"/>
      <c r="EW1259" s="8"/>
      <c r="EX1259" s="8"/>
      <c r="EY1259" s="8"/>
      <c r="EZ1259" s="8"/>
      <c r="FA1259" s="8"/>
      <c r="FB1259" s="8"/>
      <c r="FC1259" s="8"/>
      <c r="FD1259" s="8"/>
      <c r="FE1259" s="8"/>
      <c r="FF1259" s="8"/>
      <c r="FG1259" s="8"/>
      <c r="FH1259" s="8"/>
      <c r="FI1259" s="8"/>
      <c r="FJ1259" s="8"/>
      <c r="FK1259" s="8"/>
      <c r="FL1259" s="8"/>
      <c r="FM1259" s="8"/>
      <c r="FN1259" s="8"/>
      <c r="FO1259" s="8"/>
      <c r="FP1259" s="8"/>
      <c r="FQ1259" s="8"/>
      <c r="FR1259" s="8"/>
      <c r="FS1259" s="8"/>
      <c r="FT1259" s="8"/>
      <c r="FU1259" s="8"/>
      <c r="FV1259" s="8"/>
      <c r="FW1259" s="8"/>
      <c r="FX1259" s="8"/>
      <c r="FY1259" s="8"/>
      <c r="FZ1259" s="8"/>
      <c r="GA1259" s="8"/>
      <c r="GB1259" s="8"/>
      <c r="GC1259" s="8"/>
      <c r="GD1259" s="8"/>
      <c r="GE1259" s="8"/>
      <c r="GF1259" s="8"/>
      <c r="GG1259" s="8"/>
      <c r="GH1259" s="8"/>
      <c r="GI1259" s="8"/>
      <c r="GJ1259" s="8"/>
      <c r="GK1259" s="8"/>
      <c r="GL1259" s="8"/>
      <c r="GM1259" s="8"/>
      <c r="GN1259" s="8"/>
      <c r="GO1259" s="8"/>
      <c r="GP1259" s="8"/>
      <c r="GQ1259" s="8"/>
      <c r="GR1259" s="8"/>
      <c r="GS1259" s="8"/>
      <c r="GT1259" s="8"/>
      <c r="GU1259" s="8"/>
      <c r="GV1259" s="8"/>
      <c r="GW1259" s="8"/>
      <c r="GX1259" s="8"/>
      <c r="GY1259" s="8"/>
      <c r="GZ1259" s="8"/>
      <c r="HA1259" s="8"/>
      <c r="HB1259" s="8"/>
      <c r="HC1259" s="8"/>
      <c r="HD1259" s="8"/>
      <c r="HE1259" s="8"/>
      <c r="HF1259" s="8"/>
      <c r="HG1259" s="8"/>
      <c r="HH1259" s="8"/>
      <c r="HI1259" s="8"/>
      <c r="HJ1259" s="8"/>
      <c r="HK1259" s="8"/>
      <c r="HL1259" s="8"/>
      <c r="HM1259" s="8"/>
      <c r="HN1259" s="8"/>
      <c r="HO1259" s="8"/>
      <c r="HP1259" s="8"/>
      <c r="HQ1259" s="8"/>
      <c r="HR1259" s="8"/>
      <c r="HS1259" s="8"/>
      <c r="HT1259" s="8"/>
      <c r="HU1259" s="8"/>
      <c r="HV1259" s="8"/>
      <c r="HW1259" s="8"/>
      <c r="HX1259" s="8"/>
      <c r="HY1259" s="8"/>
      <c r="HZ1259" s="8"/>
      <c r="IA1259" s="8"/>
      <c r="IB1259" s="8"/>
      <c r="IC1259" s="8"/>
      <c r="ID1259" s="8"/>
      <c r="IE1259" s="8"/>
      <c r="IF1259" s="8"/>
    </row>
    <row r="1260" spans="1:240" ht="30" customHeight="1">
      <c r="A1260" s="5">
        <v>1258</v>
      </c>
      <c r="B1260" s="5"/>
      <c r="C1260" s="5"/>
      <c r="D1260" s="5" t="s">
        <v>68</v>
      </c>
      <c r="E1260" s="5">
        <v>1800</v>
      </c>
      <c r="F1260" s="5">
        <v>1500</v>
      </c>
      <c r="G1260" s="5">
        <v>2440</v>
      </c>
      <c r="H1260" s="5">
        <v>788</v>
      </c>
      <c r="I1260" s="5" t="s">
        <v>13</v>
      </c>
      <c r="J1260" s="15">
        <f>4*50/4.4</f>
        <v>45.454545454545453</v>
      </c>
      <c r="K1260" s="17">
        <f t="shared" si="38"/>
        <v>4.1670000000000016</v>
      </c>
      <c r="L1260" s="15">
        <f>50*3782*4.1868/3600</f>
        <v>219.92330000000001</v>
      </c>
      <c r="M1260" s="5">
        <f t="shared" si="39"/>
        <v>3.8890000000000029</v>
      </c>
      <c r="N1260" s="5"/>
      <c r="O1260" s="5">
        <f>12600*1.6978</f>
        <v>21392.28</v>
      </c>
      <c r="P1260" s="5"/>
      <c r="Q1260" s="5"/>
      <c r="R1260" s="5">
        <v>1</v>
      </c>
      <c r="S1260" s="5">
        <v>900</v>
      </c>
      <c r="T1260" s="5"/>
      <c r="U1260" s="5">
        <v>960</v>
      </c>
      <c r="V1260" s="15">
        <f>0.7457*3*R1260</f>
        <v>2.2370999999999999</v>
      </c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8"/>
      <c r="AP1260" s="8"/>
      <c r="AQ1260" s="8"/>
      <c r="AR1260" s="8"/>
      <c r="AS1260" s="8"/>
      <c r="AT1260" s="8"/>
      <c r="AU1260" s="8"/>
      <c r="AV1260" s="8"/>
      <c r="AW1260" s="8"/>
      <c r="AX1260" s="8"/>
      <c r="AY1260" s="8"/>
      <c r="AZ1260" s="8"/>
      <c r="BA1260" s="8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8"/>
      <c r="BS1260" s="8"/>
      <c r="BT1260" s="8"/>
      <c r="BU1260" s="8"/>
      <c r="BV1260" s="8"/>
      <c r="BW1260" s="8"/>
      <c r="BX1260" s="8"/>
      <c r="BY1260" s="8"/>
      <c r="BZ1260" s="8"/>
      <c r="CA1260" s="8"/>
      <c r="CB1260" s="8"/>
      <c r="CC1260" s="8"/>
      <c r="CD1260" s="8"/>
      <c r="CE1260" s="8"/>
      <c r="CF1260" s="8"/>
      <c r="CG1260" s="8"/>
      <c r="CH1260" s="8"/>
      <c r="CI1260" s="8"/>
      <c r="CJ1260" s="8"/>
      <c r="CK1260" s="8"/>
      <c r="CL1260" s="8"/>
      <c r="CM1260" s="8"/>
      <c r="CN1260" s="8"/>
      <c r="CO1260" s="8"/>
      <c r="CP1260" s="8"/>
      <c r="CQ1260" s="8"/>
      <c r="CR1260" s="8"/>
      <c r="CS1260" s="8"/>
      <c r="CT1260" s="8"/>
      <c r="CU1260" s="8"/>
      <c r="CV1260" s="8"/>
      <c r="CW1260" s="8"/>
      <c r="CX1260" s="8"/>
      <c r="CY1260" s="8"/>
      <c r="CZ1260" s="8"/>
      <c r="DA1260" s="8"/>
      <c r="DB1260" s="8"/>
      <c r="DC1260" s="8"/>
      <c r="DD1260" s="8"/>
      <c r="DE1260" s="8"/>
      <c r="DF1260" s="8"/>
      <c r="DG1260" s="8"/>
      <c r="DH1260" s="8"/>
      <c r="DI1260" s="8"/>
      <c r="DJ1260" s="8"/>
      <c r="DK1260" s="8"/>
      <c r="DL1260" s="8"/>
      <c r="DM1260" s="8"/>
      <c r="DN1260" s="8"/>
      <c r="DO1260" s="8"/>
      <c r="DP1260" s="8"/>
      <c r="DQ1260" s="8"/>
      <c r="DR1260" s="8"/>
      <c r="DS1260" s="8"/>
      <c r="DT1260" s="8"/>
      <c r="DU1260" s="8"/>
      <c r="DV1260" s="8"/>
      <c r="DW1260" s="8"/>
      <c r="DX1260" s="8"/>
      <c r="DY1260" s="8"/>
      <c r="DZ1260" s="8"/>
      <c r="EA1260" s="8"/>
      <c r="EB1260" s="8"/>
      <c r="EC1260" s="8"/>
      <c r="ED1260" s="8"/>
      <c r="EE1260" s="8"/>
      <c r="EF1260" s="8"/>
      <c r="EG1260" s="8"/>
      <c r="EH1260" s="8"/>
      <c r="EI1260" s="8"/>
      <c r="EJ1260" s="8"/>
      <c r="EK1260" s="8"/>
      <c r="EL1260" s="8"/>
      <c r="EM1260" s="8"/>
      <c r="EN1260" s="8"/>
      <c r="EO1260" s="8"/>
      <c r="EP1260" s="8"/>
      <c r="EQ1260" s="8"/>
      <c r="ER1260" s="8"/>
      <c r="ES1260" s="8"/>
      <c r="ET1260" s="8"/>
      <c r="EU1260" s="8"/>
      <c r="EV1260" s="8"/>
      <c r="EW1260" s="8"/>
      <c r="EX1260" s="8"/>
      <c r="EY1260" s="8"/>
      <c r="EZ1260" s="8"/>
      <c r="FA1260" s="8"/>
      <c r="FB1260" s="8"/>
      <c r="FC1260" s="8"/>
      <c r="FD1260" s="8"/>
      <c r="FE1260" s="8"/>
      <c r="FF1260" s="8"/>
      <c r="FG1260" s="8"/>
      <c r="FH1260" s="8"/>
      <c r="FI1260" s="8"/>
      <c r="FJ1260" s="8"/>
      <c r="FK1260" s="8"/>
      <c r="FL1260" s="8"/>
      <c r="FM1260" s="8"/>
      <c r="FN1260" s="8"/>
      <c r="FO1260" s="8"/>
      <c r="FP1260" s="8"/>
      <c r="FQ1260" s="8"/>
      <c r="FR1260" s="8"/>
      <c r="FS1260" s="8"/>
      <c r="FT1260" s="8"/>
      <c r="FU1260" s="8"/>
      <c r="FV1260" s="8"/>
      <c r="FW1260" s="8"/>
      <c r="FX1260" s="8"/>
      <c r="FY1260" s="8"/>
      <c r="FZ1260" s="8"/>
      <c r="GA1260" s="8"/>
      <c r="GB1260" s="8"/>
      <c r="GC1260" s="8"/>
      <c r="GD1260" s="8"/>
      <c r="GE1260" s="8"/>
      <c r="GF1260" s="8"/>
      <c r="GG1260" s="8"/>
      <c r="GH1260" s="8"/>
      <c r="GI1260" s="8"/>
      <c r="GJ1260" s="8"/>
      <c r="GK1260" s="8"/>
      <c r="GL1260" s="8"/>
      <c r="GM1260" s="8"/>
      <c r="GN1260" s="8"/>
      <c r="GO1260" s="8"/>
      <c r="GP1260" s="8"/>
      <c r="GQ1260" s="8"/>
      <c r="GR1260" s="8"/>
      <c r="GS1260" s="8"/>
      <c r="GT1260" s="8"/>
      <c r="GU1260" s="8"/>
      <c r="GV1260" s="8"/>
      <c r="GW1260" s="8"/>
      <c r="GX1260" s="8"/>
      <c r="GY1260" s="8"/>
      <c r="GZ1260" s="8"/>
      <c r="HA1260" s="8"/>
      <c r="HB1260" s="8"/>
      <c r="HC1260" s="8"/>
      <c r="HD1260" s="8"/>
      <c r="HE1260" s="8"/>
      <c r="HF1260" s="8"/>
      <c r="HG1260" s="8"/>
      <c r="HH1260" s="8"/>
      <c r="HI1260" s="8"/>
      <c r="HJ1260" s="8"/>
      <c r="HK1260" s="8"/>
      <c r="HL1260" s="8"/>
      <c r="HM1260" s="8"/>
      <c r="HN1260" s="8"/>
      <c r="HO1260" s="8"/>
      <c r="HP1260" s="8"/>
      <c r="HQ1260" s="8"/>
      <c r="HR1260" s="8"/>
      <c r="HS1260" s="8"/>
      <c r="HT1260" s="8"/>
      <c r="HU1260" s="8"/>
      <c r="HV1260" s="8"/>
      <c r="HW1260" s="8"/>
      <c r="HX1260" s="8"/>
      <c r="HY1260" s="8"/>
      <c r="HZ1260" s="8"/>
      <c r="IA1260" s="8"/>
      <c r="IB1260" s="8"/>
      <c r="IC1260" s="8"/>
      <c r="ID1260" s="8"/>
      <c r="IE1260" s="8"/>
      <c r="IF1260" s="8"/>
    </row>
    <row r="1261" spans="1:240" ht="30" customHeight="1">
      <c r="A1261" s="5">
        <v>1259</v>
      </c>
      <c r="B1261" s="5"/>
      <c r="C1261" s="5"/>
      <c r="D1261" s="5" t="s">
        <v>68</v>
      </c>
      <c r="E1261" s="5">
        <v>1800</v>
      </c>
      <c r="F1261" s="5">
        <v>1800</v>
      </c>
      <c r="G1261" s="5">
        <v>2440</v>
      </c>
      <c r="H1261" s="5">
        <v>947</v>
      </c>
      <c r="I1261" s="5" t="s">
        <v>13</v>
      </c>
      <c r="J1261" s="15">
        <f>4*60/4.4</f>
        <v>54.54545454545454</v>
      </c>
      <c r="K1261" s="17">
        <f t="shared" si="38"/>
        <v>4.1670000000000016</v>
      </c>
      <c r="L1261" s="15">
        <f>60*3782*4.1868/3600</f>
        <v>263.90796</v>
      </c>
      <c r="M1261" s="5">
        <f t="shared" si="39"/>
        <v>3.8890000000000029</v>
      </c>
      <c r="N1261" s="5"/>
      <c r="O1261" s="5">
        <f>15100*1.6978</f>
        <v>25636.78</v>
      </c>
      <c r="P1261" s="5"/>
      <c r="Q1261" s="5"/>
      <c r="R1261" s="5">
        <v>1</v>
      </c>
      <c r="S1261" s="5">
        <v>900</v>
      </c>
      <c r="T1261" s="5"/>
      <c r="U1261" s="5">
        <v>960</v>
      </c>
      <c r="V1261" s="15">
        <f>0.7457*3*R1261</f>
        <v>2.2370999999999999</v>
      </c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8"/>
      <c r="BS1261" s="8"/>
      <c r="BT1261" s="8"/>
      <c r="BU1261" s="8"/>
      <c r="BV1261" s="8"/>
      <c r="BW1261" s="8"/>
      <c r="BX1261" s="8"/>
      <c r="BY1261" s="8"/>
      <c r="BZ1261" s="8"/>
      <c r="CA1261" s="8"/>
      <c r="CB1261" s="8"/>
      <c r="CC1261" s="8"/>
      <c r="CD1261" s="8"/>
      <c r="CE1261" s="8"/>
      <c r="CF1261" s="8"/>
      <c r="CG1261" s="8"/>
      <c r="CH1261" s="8"/>
      <c r="CI1261" s="8"/>
      <c r="CJ1261" s="8"/>
      <c r="CK1261" s="8"/>
      <c r="CL1261" s="8"/>
      <c r="CM1261" s="8"/>
      <c r="CN1261" s="8"/>
      <c r="CO1261" s="8"/>
      <c r="CP1261" s="8"/>
      <c r="CQ1261" s="8"/>
      <c r="CR1261" s="8"/>
      <c r="CS1261" s="8"/>
      <c r="CT1261" s="8"/>
      <c r="CU1261" s="8"/>
      <c r="CV1261" s="8"/>
      <c r="CW1261" s="8"/>
      <c r="CX1261" s="8"/>
      <c r="CY1261" s="8"/>
      <c r="CZ1261" s="8"/>
      <c r="DA1261" s="8"/>
      <c r="DB1261" s="8"/>
      <c r="DC1261" s="8"/>
      <c r="DD1261" s="8"/>
      <c r="DE1261" s="8"/>
      <c r="DF1261" s="8"/>
      <c r="DG1261" s="8"/>
      <c r="DH1261" s="8"/>
      <c r="DI1261" s="8"/>
      <c r="DJ1261" s="8"/>
      <c r="DK1261" s="8"/>
      <c r="DL1261" s="8"/>
      <c r="DM1261" s="8"/>
      <c r="DN1261" s="8"/>
      <c r="DO1261" s="8"/>
      <c r="DP1261" s="8"/>
      <c r="DQ1261" s="8"/>
      <c r="DR1261" s="8"/>
      <c r="DS1261" s="8"/>
      <c r="DT1261" s="8"/>
      <c r="DU1261" s="8"/>
      <c r="DV1261" s="8"/>
      <c r="DW1261" s="8"/>
      <c r="DX1261" s="8"/>
      <c r="DY1261" s="8"/>
      <c r="DZ1261" s="8"/>
      <c r="EA1261" s="8"/>
      <c r="EB1261" s="8"/>
      <c r="EC1261" s="8"/>
      <c r="ED1261" s="8"/>
      <c r="EE1261" s="8"/>
      <c r="EF1261" s="8"/>
      <c r="EG1261" s="8"/>
      <c r="EH1261" s="8"/>
      <c r="EI1261" s="8"/>
      <c r="EJ1261" s="8"/>
      <c r="EK1261" s="8"/>
      <c r="EL1261" s="8"/>
      <c r="EM1261" s="8"/>
      <c r="EN1261" s="8"/>
      <c r="EO1261" s="8"/>
      <c r="EP1261" s="8"/>
      <c r="EQ1261" s="8"/>
      <c r="ER1261" s="8"/>
      <c r="ES1261" s="8"/>
      <c r="ET1261" s="8"/>
      <c r="EU1261" s="8"/>
      <c r="EV1261" s="8"/>
      <c r="EW1261" s="8"/>
      <c r="EX1261" s="8"/>
      <c r="EY1261" s="8"/>
      <c r="EZ1261" s="8"/>
      <c r="FA1261" s="8"/>
      <c r="FB1261" s="8"/>
      <c r="FC1261" s="8"/>
      <c r="FD1261" s="8"/>
      <c r="FE1261" s="8"/>
      <c r="FF1261" s="8"/>
      <c r="FG1261" s="8"/>
      <c r="FH1261" s="8"/>
      <c r="FI1261" s="8"/>
      <c r="FJ1261" s="8"/>
      <c r="FK1261" s="8"/>
      <c r="FL1261" s="8"/>
      <c r="FM1261" s="8"/>
      <c r="FN1261" s="8"/>
      <c r="FO1261" s="8"/>
      <c r="FP1261" s="8"/>
      <c r="FQ1261" s="8"/>
      <c r="FR1261" s="8"/>
      <c r="FS1261" s="8"/>
      <c r="FT1261" s="8"/>
      <c r="FU1261" s="8"/>
      <c r="FV1261" s="8"/>
      <c r="FW1261" s="8"/>
      <c r="FX1261" s="8"/>
      <c r="FY1261" s="8"/>
      <c r="FZ1261" s="8"/>
      <c r="GA1261" s="8"/>
      <c r="GB1261" s="8"/>
      <c r="GC1261" s="8"/>
      <c r="GD1261" s="8"/>
      <c r="GE1261" s="8"/>
      <c r="GF1261" s="8"/>
      <c r="GG1261" s="8"/>
      <c r="GH1261" s="8"/>
      <c r="GI1261" s="8"/>
      <c r="GJ1261" s="8"/>
      <c r="GK1261" s="8"/>
      <c r="GL1261" s="8"/>
      <c r="GM1261" s="8"/>
      <c r="GN1261" s="8"/>
      <c r="GO1261" s="8"/>
      <c r="GP1261" s="8"/>
      <c r="GQ1261" s="8"/>
      <c r="GR1261" s="8"/>
      <c r="GS1261" s="8"/>
      <c r="GT1261" s="8"/>
      <c r="GU1261" s="8"/>
      <c r="GV1261" s="8"/>
      <c r="GW1261" s="8"/>
      <c r="GX1261" s="8"/>
      <c r="GY1261" s="8"/>
      <c r="GZ1261" s="8"/>
      <c r="HA1261" s="8"/>
      <c r="HB1261" s="8"/>
      <c r="HC1261" s="8"/>
      <c r="HD1261" s="8"/>
      <c r="HE1261" s="8"/>
      <c r="HF1261" s="8"/>
      <c r="HG1261" s="8"/>
      <c r="HH1261" s="8"/>
      <c r="HI1261" s="8"/>
      <c r="HJ1261" s="8"/>
      <c r="HK1261" s="8"/>
      <c r="HL1261" s="8"/>
      <c r="HM1261" s="8"/>
      <c r="HN1261" s="8"/>
      <c r="HO1261" s="8"/>
      <c r="HP1261" s="8"/>
      <c r="HQ1261" s="8"/>
      <c r="HR1261" s="8"/>
      <c r="HS1261" s="8"/>
      <c r="HT1261" s="8"/>
      <c r="HU1261" s="8"/>
      <c r="HV1261" s="8"/>
      <c r="HW1261" s="8"/>
      <c r="HX1261" s="8"/>
      <c r="HY1261" s="8"/>
      <c r="HZ1261" s="8"/>
      <c r="IA1261" s="8"/>
      <c r="IB1261" s="8"/>
      <c r="IC1261" s="8"/>
      <c r="ID1261" s="8"/>
      <c r="IE1261" s="8"/>
      <c r="IF1261" s="8"/>
    </row>
    <row r="1262" spans="1:240" ht="30" customHeight="1">
      <c r="A1262" s="5">
        <v>1260</v>
      </c>
      <c r="B1262" s="5"/>
      <c r="C1262" s="5"/>
      <c r="D1262" s="5" t="s">
        <v>68</v>
      </c>
      <c r="E1262" s="5">
        <v>1800</v>
      </c>
      <c r="F1262" s="5">
        <v>2100</v>
      </c>
      <c r="G1262" s="5">
        <v>2440</v>
      </c>
      <c r="H1262" s="5">
        <v>1102</v>
      </c>
      <c r="I1262" s="5" t="s">
        <v>13</v>
      </c>
      <c r="J1262" s="15">
        <f>4*70/4.4</f>
        <v>63.636363636363633</v>
      </c>
      <c r="K1262" s="17">
        <f t="shared" si="38"/>
        <v>4.1670000000000016</v>
      </c>
      <c r="L1262" s="15">
        <f>70*3782*4.1868/3600</f>
        <v>307.89262000000002</v>
      </c>
      <c r="M1262" s="5">
        <f t="shared" si="39"/>
        <v>3.8890000000000029</v>
      </c>
      <c r="N1262" s="5"/>
      <c r="O1262" s="5">
        <f>17600*1.6978</f>
        <v>29881.279999999999</v>
      </c>
      <c r="P1262" s="5"/>
      <c r="Q1262" s="5"/>
      <c r="R1262" s="5">
        <v>1</v>
      </c>
      <c r="S1262" s="5">
        <v>900</v>
      </c>
      <c r="T1262" s="5"/>
      <c r="U1262" s="5">
        <v>960</v>
      </c>
      <c r="V1262" s="15">
        <f>0.7457*3*R1262</f>
        <v>2.2370999999999999</v>
      </c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8"/>
      <c r="AP1262" s="8"/>
      <c r="AQ1262" s="8"/>
      <c r="AR1262" s="8"/>
      <c r="AS1262" s="8"/>
      <c r="AT1262" s="8"/>
      <c r="AU1262" s="8"/>
      <c r="AV1262" s="8"/>
      <c r="AW1262" s="8"/>
      <c r="AX1262" s="8"/>
      <c r="AY1262" s="8"/>
      <c r="AZ1262" s="8"/>
      <c r="BA1262" s="8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8"/>
      <c r="BS1262" s="8"/>
      <c r="BT1262" s="8"/>
      <c r="BU1262" s="8"/>
      <c r="BV1262" s="8"/>
      <c r="BW1262" s="8"/>
      <c r="BX1262" s="8"/>
      <c r="BY1262" s="8"/>
      <c r="BZ1262" s="8"/>
      <c r="CA1262" s="8"/>
      <c r="CB1262" s="8"/>
      <c r="CC1262" s="8"/>
      <c r="CD1262" s="8"/>
      <c r="CE1262" s="8"/>
      <c r="CF1262" s="8"/>
      <c r="CG1262" s="8"/>
      <c r="CH1262" s="8"/>
      <c r="CI1262" s="8"/>
      <c r="CJ1262" s="8"/>
      <c r="CK1262" s="8"/>
      <c r="CL1262" s="8"/>
      <c r="CM1262" s="8"/>
      <c r="CN1262" s="8"/>
      <c r="CO1262" s="8"/>
      <c r="CP1262" s="8"/>
      <c r="CQ1262" s="8"/>
      <c r="CR1262" s="8"/>
      <c r="CS1262" s="8"/>
      <c r="CT1262" s="8"/>
      <c r="CU1262" s="8"/>
      <c r="CV1262" s="8"/>
      <c r="CW1262" s="8"/>
      <c r="CX1262" s="8"/>
      <c r="CY1262" s="8"/>
      <c r="CZ1262" s="8"/>
      <c r="DA1262" s="8"/>
      <c r="DB1262" s="8"/>
      <c r="DC1262" s="8"/>
      <c r="DD1262" s="8"/>
      <c r="DE1262" s="8"/>
      <c r="DF1262" s="8"/>
      <c r="DG1262" s="8"/>
      <c r="DH1262" s="8"/>
      <c r="DI1262" s="8"/>
      <c r="DJ1262" s="8"/>
      <c r="DK1262" s="8"/>
      <c r="DL1262" s="8"/>
      <c r="DM1262" s="8"/>
      <c r="DN1262" s="8"/>
      <c r="DO1262" s="8"/>
      <c r="DP1262" s="8"/>
      <c r="DQ1262" s="8"/>
      <c r="DR1262" s="8"/>
      <c r="DS1262" s="8"/>
      <c r="DT1262" s="8"/>
      <c r="DU1262" s="8"/>
      <c r="DV1262" s="8"/>
      <c r="DW1262" s="8"/>
      <c r="DX1262" s="8"/>
      <c r="DY1262" s="8"/>
      <c r="DZ1262" s="8"/>
      <c r="EA1262" s="8"/>
      <c r="EB1262" s="8"/>
      <c r="EC1262" s="8"/>
      <c r="ED1262" s="8"/>
      <c r="EE1262" s="8"/>
      <c r="EF1262" s="8"/>
      <c r="EG1262" s="8"/>
      <c r="EH1262" s="8"/>
      <c r="EI1262" s="8"/>
      <c r="EJ1262" s="8"/>
      <c r="EK1262" s="8"/>
      <c r="EL1262" s="8"/>
      <c r="EM1262" s="8"/>
      <c r="EN1262" s="8"/>
      <c r="EO1262" s="8"/>
      <c r="EP1262" s="8"/>
      <c r="EQ1262" s="8"/>
      <c r="ER1262" s="8"/>
      <c r="ES1262" s="8"/>
      <c r="ET1262" s="8"/>
      <c r="EU1262" s="8"/>
      <c r="EV1262" s="8"/>
      <c r="EW1262" s="8"/>
      <c r="EX1262" s="8"/>
      <c r="EY1262" s="8"/>
      <c r="EZ1262" s="8"/>
      <c r="FA1262" s="8"/>
      <c r="FB1262" s="8"/>
      <c r="FC1262" s="8"/>
      <c r="FD1262" s="8"/>
      <c r="FE1262" s="8"/>
      <c r="FF1262" s="8"/>
      <c r="FG1262" s="8"/>
      <c r="FH1262" s="8"/>
      <c r="FI1262" s="8"/>
      <c r="FJ1262" s="8"/>
      <c r="FK1262" s="8"/>
      <c r="FL1262" s="8"/>
      <c r="FM1262" s="8"/>
      <c r="FN1262" s="8"/>
      <c r="FO1262" s="8"/>
      <c r="FP1262" s="8"/>
      <c r="FQ1262" s="8"/>
      <c r="FR1262" s="8"/>
      <c r="FS1262" s="8"/>
      <c r="FT1262" s="8"/>
      <c r="FU1262" s="8"/>
      <c r="FV1262" s="8"/>
      <c r="FW1262" s="8"/>
      <c r="FX1262" s="8"/>
      <c r="FY1262" s="8"/>
      <c r="FZ1262" s="8"/>
      <c r="GA1262" s="8"/>
      <c r="GB1262" s="8"/>
      <c r="GC1262" s="8"/>
      <c r="GD1262" s="8"/>
      <c r="GE1262" s="8"/>
      <c r="GF1262" s="8"/>
      <c r="GG1262" s="8"/>
      <c r="GH1262" s="8"/>
      <c r="GI1262" s="8"/>
      <c r="GJ1262" s="8"/>
      <c r="GK1262" s="8"/>
      <c r="GL1262" s="8"/>
      <c r="GM1262" s="8"/>
      <c r="GN1262" s="8"/>
      <c r="GO1262" s="8"/>
      <c r="GP1262" s="8"/>
      <c r="GQ1262" s="8"/>
      <c r="GR1262" s="8"/>
      <c r="GS1262" s="8"/>
      <c r="GT1262" s="8"/>
      <c r="GU1262" s="8"/>
      <c r="GV1262" s="8"/>
      <c r="GW1262" s="8"/>
      <c r="GX1262" s="8"/>
      <c r="GY1262" s="8"/>
      <c r="GZ1262" s="8"/>
      <c r="HA1262" s="8"/>
      <c r="HB1262" s="8"/>
      <c r="HC1262" s="8"/>
      <c r="HD1262" s="8"/>
      <c r="HE1262" s="8"/>
      <c r="HF1262" s="8"/>
      <c r="HG1262" s="8"/>
      <c r="HH1262" s="8"/>
      <c r="HI1262" s="8"/>
      <c r="HJ1262" s="8"/>
      <c r="HK1262" s="8"/>
      <c r="HL1262" s="8"/>
      <c r="HM1262" s="8"/>
      <c r="HN1262" s="8"/>
      <c r="HO1262" s="8"/>
      <c r="HP1262" s="8"/>
      <c r="HQ1262" s="8"/>
      <c r="HR1262" s="8"/>
      <c r="HS1262" s="8"/>
      <c r="HT1262" s="8"/>
      <c r="HU1262" s="8"/>
      <c r="HV1262" s="8"/>
      <c r="HW1262" s="8"/>
      <c r="HX1262" s="8"/>
      <c r="HY1262" s="8"/>
      <c r="HZ1262" s="8"/>
      <c r="IA1262" s="8"/>
      <c r="IB1262" s="8"/>
      <c r="IC1262" s="8"/>
      <c r="ID1262" s="8"/>
      <c r="IE1262" s="8"/>
      <c r="IF1262" s="8"/>
    </row>
    <row r="1263" spans="1:240" ht="30" customHeight="1">
      <c r="A1263" s="5">
        <v>1261</v>
      </c>
      <c r="B1263" s="5"/>
      <c r="C1263" s="5"/>
      <c r="D1263" s="5" t="s">
        <v>68</v>
      </c>
      <c r="E1263" s="5">
        <v>2400</v>
      </c>
      <c r="F1263" s="5">
        <v>1800</v>
      </c>
      <c r="G1263" s="5">
        <v>2440</v>
      </c>
      <c r="H1263" s="5">
        <v>1241</v>
      </c>
      <c r="I1263" s="5" t="s">
        <v>13</v>
      </c>
      <c r="J1263" s="15">
        <f>4*80/4.4</f>
        <v>72.72727272727272</v>
      </c>
      <c r="K1263" s="17">
        <f t="shared" si="38"/>
        <v>4.1670000000000016</v>
      </c>
      <c r="L1263" s="15">
        <f>80*3782*4.1868/3600</f>
        <v>351.87727999999998</v>
      </c>
      <c r="M1263" s="5">
        <f t="shared" si="39"/>
        <v>3.8890000000000029</v>
      </c>
      <c r="N1263" s="5"/>
      <c r="O1263" s="5">
        <f>20100*1.6978</f>
        <v>34125.78</v>
      </c>
      <c r="P1263" s="5"/>
      <c r="Q1263" s="5"/>
      <c r="R1263" s="5">
        <v>1</v>
      </c>
      <c r="S1263" s="5">
        <v>1000</v>
      </c>
      <c r="T1263" s="5"/>
      <c r="U1263" s="5">
        <v>960</v>
      </c>
      <c r="V1263" s="15">
        <f>0.7457*5*R1263</f>
        <v>3.7285000000000004</v>
      </c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8"/>
      <c r="AP1263" s="8"/>
      <c r="AQ1263" s="8"/>
      <c r="AR1263" s="8"/>
      <c r="AS1263" s="8"/>
      <c r="AT1263" s="8"/>
      <c r="AU1263" s="8"/>
      <c r="AV1263" s="8"/>
      <c r="AW1263" s="8"/>
      <c r="AX1263" s="8"/>
      <c r="AY1263" s="8"/>
      <c r="AZ1263" s="8"/>
      <c r="BA1263" s="8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8"/>
      <c r="BS1263" s="8"/>
      <c r="BT1263" s="8"/>
      <c r="BU1263" s="8"/>
      <c r="BV1263" s="8"/>
      <c r="BW1263" s="8"/>
      <c r="BX1263" s="8"/>
      <c r="BY1263" s="8"/>
      <c r="BZ1263" s="8"/>
      <c r="CA1263" s="8"/>
      <c r="CB1263" s="8"/>
      <c r="CC1263" s="8"/>
      <c r="CD1263" s="8"/>
      <c r="CE1263" s="8"/>
      <c r="CF1263" s="8"/>
      <c r="CG1263" s="8"/>
      <c r="CH1263" s="8"/>
      <c r="CI1263" s="8"/>
      <c r="CJ1263" s="8"/>
      <c r="CK1263" s="8"/>
      <c r="CL1263" s="8"/>
      <c r="CM1263" s="8"/>
      <c r="CN1263" s="8"/>
      <c r="CO1263" s="8"/>
      <c r="CP1263" s="8"/>
      <c r="CQ1263" s="8"/>
      <c r="CR1263" s="8"/>
      <c r="CS1263" s="8"/>
      <c r="CT1263" s="8"/>
      <c r="CU1263" s="8"/>
      <c r="CV1263" s="8"/>
      <c r="CW1263" s="8"/>
      <c r="CX1263" s="8"/>
      <c r="CY1263" s="8"/>
      <c r="CZ1263" s="8"/>
      <c r="DA1263" s="8"/>
      <c r="DB1263" s="8"/>
      <c r="DC1263" s="8"/>
      <c r="DD1263" s="8"/>
      <c r="DE1263" s="8"/>
      <c r="DF1263" s="8"/>
      <c r="DG1263" s="8"/>
      <c r="DH1263" s="8"/>
      <c r="DI1263" s="8"/>
      <c r="DJ1263" s="8"/>
      <c r="DK1263" s="8"/>
      <c r="DL1263" s="8"/>
      <c r="DM1263" s="8"/>
      <c r="DN1263" s="8"/>
      <c r="DO1263" s="8"/>
      <c r="DP1263" s="8"/>
      <c r="DQ1263" s="8"/>
      <c r="DR1263" s="8"/>
      <c r="DS1263" s="8"/>
      <c r="DT1263" s="8"/>
      <c r="DU1263" s="8"/>
      <c r="DV1263" s="8"/>
      <c r="DW1263" s="8"/>
      <c r="DX1263" s="8"/>
      <c r="DY1263" s="8"/>
      <c r="DZ1263" s="8"/>
      <c r="EA1263" s="8"/>
      <c r="EB1263" s="8"/>
      <c r="EC1263" s="8"/>
      <c r="ED1263" s="8"/>
      <c r="EE1263" s="8"/>
      <c r="EF1263" s="8"/>
      <c r="EG1263" s="8"/>
      <c r="EH1263" s="8"/>
      <c r="EI1263" s="8"/>
      <c r="EJ1263" s="8"/>
      <c r="EK1263" s="8"/>
      <c r="EL1263" s="8"/>
      <c r="EM1263" s="8"/>
      <c r="EN1263" s="8"/>
      <c r="EO1263" s="8"/>
      <c r="EP1263" s="8"/>
      <c r="EQ1263" s="8"/>
      <c r="ER1263" s="8"/>
      <c r="ES1263" s="8"/>
      <c r="ET1263" s="8"/>
      <c r="EU1263" s="8"/>
      <c r="EV1263" s="8"/>
      <c r="EW1263" s="8"/>
      <c r="EX1263" s="8"/>
      <c r="EY1263" s="8"/>
      <c r="EZ1263" s="8"/>
      <c r="FA1263" s="8"/>
      <c r="FB1263" s="8"/>
      <c r="FC1263" s="8"/>
      <c r="FD1263" s="8"/>
      <c r="FE1263" s="8"/>
      <c r="FF1263" s="8"/>
      <c r="FG1263" s="8"/>
      <c r="FH1263" s="8"/>
      <c r="FI1263" s="8"/>
      <c r="FJ1263" s="8"/>
      <c r="FK1263" s="8"/>
      <c r="FL1263" s="8"/>
      <c r="FM1263" s="8"/>
      <c r="FN1263" s="8"/>
      <c r="FO1263" s="8"/>
      <c r="FP1263" s="8"/>
      <c r="FQ1263" s="8"/>
      <c r="FR1263" s="8"/>
      <c r="FS1263" s="8"/>
      <c r="FT1263" s="8"/>
      <c r="FU1263" s="8"/>
      <c r="FV1263" s="8"/>
      <c r="FW1263" s="8"/>
      <c r="FX1263" s="8"/>
      <c r="FY1263" s="8"/>
      <c r="FZ1263" s="8"/>
      <c r="GA1263" s="8"/>
      <c r="GB1263" s="8"/>
      <c r="GC1263" s="8"/>
      <c r="GD1263" s="8"/>
      <c r="GE1263" s="8"/>
      <c r="GF1263" s="8"/>
      <c r="GG1263" s="8"/>
      <c r="GH1263" s="8"/>
      <c r="GI1263" s="8"/>
      <c r="GJ1263" s="8"/>
      <c r="GK1263" s="8"/>
      <c r="GL1263" s="8"/>
      <c r="GM1263" s="8"/>
      <c r="GN1263" s="8"/>
      <c r="GO1263" s="8"/>
      <c r="GP1263" s="8"/>
      <c r="GQ1263" s="8"/>
      <c r="GR1263" s="8"/>
      <c r="GS1263" s="8"/>
      <c r="GT1263" s="8"/>
      <c r="GU1263" s="8"/>
      <c r="GV1263" s="8"/>
      <c r="GW1263" s="8"/>
      <c r="GX1263" s="8"/>
      <c r="GY1263" s="8"/>
      <c r="GZ1263" s="8"/>
      <c r="HA1263" s="8"/>
      <c r="HB1263" s="8"/>
      <c r="HC1263" s="8"/>
      <c r="HD1263" s="8"/>
      <c r="HE1263" s="8"/>
      <c r="HF1263" s="8"/>
      <c r="HG1263" s="8"/>
      <c r="HH1263" s="8"/>
      <c r="HI1263" s="8"/>
      <c r="HJ1263" s="8"/>
      <c r="HK1263" s="8"/>
      <c r="HL1263" s="8"/>
      <c r="HM1263" s="8"/>
      <c r="HN1263" s="8"/>
      <c r="HO1263" s="8"/>
      <c r="HP1263" s="8"/>
      <c r="HQ1263" s="8"/>
      <c r="HR1263" s="8"/>
      <c r="HS1263" s="8"/>
      <c r="HT1263" s="8"/>
      <c r="HU1263" s="8"/>
      <c r="HV1263" s="8"/>
      <c r="HW1263" s="8"/>
      <c r="HX1263" s="8"/>
      <c r="HY1263" s="8"/>
      <c r="HZ1263" s="8"/>
      <c r="IA1263" s="8"/>
      <c r="IB1263" s="8"/>
      <c r="IC1263" s="8"/>
      <c r="ID1263" s="8"/>
      <c r="IE1263" s="8"/>
      <c r="IF1263" s="8"/>
    </row>
    <row r="1264" spans="1:240" ht="30" customHeight="1">
      <c r="A1264" s="5">
        <v>1262</v>
      </c>
      <c r="B1264" s="5"/>
      <c r="C1264" s="5"/>
      <c r="D1264" s="5" t="s">
        <v>68</v>
      </c>
      <c r="E1264" s="5">
        <v>2400</v>
      </c>
      <c r="F1264" s="5">
        <v>2100</v>
      </c>
      <c r="G1264" s="5">
        <v>2440</v>
      </c>
      <c r="H1264" s="5">
        <v>1472</v>
      </c>
      <c r="I1264" s="5" t="s">
        <v>13</v>
      </c>
      <c r="J1264" s="15">
        <f>4*95/4.4</f>
        <v>86.36363636363636</v>
      </c>
      <c r="K1264" s="17">
        <f t="shared" si="38"/>
        <v>4.1670000000000016</v>
      </c>
      <c r="L1264" s="15">
        <f>95*3782*4.1868/3600</f>
        <v>417.85426999999999</v>
      </c>
      <c r="M1264" s="5">
        <f t="shared" si="39"/>
        <v>3.8890000000000029</v>
      </c>
      <c r="N1264" s="5"/>
      <c r="O1264" s="5">
        <f>23450*1.6978</f>
        <v>39813.409999999996</v>
      </c>
      <c r="P1264" s="5"/>
      <c r="Q1264" s="5"/>
      <c r="R1264" s="5">
        <v>1</v>
      </c>
      <c r="S1264" s="5">
        <v>1000</v>
      </c>
      <c r="T1264" s="5"/>
      <c r="U1264" s="5">
        <v>960</v>
      </c>
      <c r="V1264" s="15">
        <f>0.7457*5*R1264</f>
        <v>3.7285000000000004</v>
      </c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8"/>
      <c r="AP1264" s="8"/>
      <c r="AQ1264" s="8"/>
      <c r="AR1264" s="8"/>
      <c r="AS1264" s="8"/>
      <c r="AT1264" s="8"/>
      <c r="AU1264" s="8"/>
      <c r="AV1264" s="8"/>
      <c r="AW1264" s="8"/>
      <c r="AX1264" s="8"/>
      <c r="AY1264" s="8"/>
      <c r="AZ1264" s="8"/>
      <c r="BA1264" s="8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8"/>
      <c r="BS1264" s="8"/>
      <c r="BT1264" s="8"/>
      <c r="BU1264" s="8"/>
      <c r="BV1264" s="8"/>
      <c r="BW1264" s="8"/>
      <c r="BX1264" s="8"/>
      <c r="BY1264" s="8"/>
      <c r="BZ1264" s="8"/>
      <c r="CA1264" s="8"/>
      <c r="CB1264" s="8"/>
      <c r="CC1264" s="8"/>
      <c r="CD1264" s="8"/>
      <c r="CE1264" s="8"/>
      <c r="CF1264" s="8"/>
      <c r="CG1264" s="8"/>
      <c r="CH1264" s="8"/>
      <c r="CI1264" s="8"/>
      <c r="CJ1264" s="8"/>
      <c r="CK1264" s="8"/>
      <c r="CL1264" s="8"/>
      <c r="CM1264" s="8"/>
      <c r="CN1264" s="8"/>
      <c r="CO1264" s="8"/>
      <c r="CP1264" s="8"/>
      <c r="CQ1264" s="8"/>
      <c r="CR1264" s="8"/>
      <c r="CS1264" s="8"/>
      <c r="CT1264" s="8"/>
      <c r="CU1264" s="8"/>
      <c r="CV1264" s="8"/>
      <c r="CW1264" s="8"/>
      <c r="CX1264" s="8"/>
      <c r="CY1264" s="8"/>
      <c r="CZ1264" s="8"/>
      <c r="DA1264" s="8"/>
      <c r="DB1264" s="8"/>
      <c r="DC1264" s="8"/>
      <c r="DD1264" s="8"/>
      <c r="DE1264" s="8"/>
      <c r="DF1264" s="8"/>
      <c r="DG1264" s="8"/>
      <c r="DH1264" s="8"/>
      <c r="DI1264" s="8"/>
      <c r="DJ1264" s="8"/>
      <c r="DK1264" s="8"/>
      <c r="DL1264" s="8"/>
      <c r="DM1264" s="8"/>
      <c r="DN1264" s="8"/>
      <c r="DO1264" s="8"/>
      <c r="DP1264" s="8"/>
      <c r="DQ1264" s="8"/>
      <c r="DR1264" s="8"/>
      <c r="DS1264" s="8"/>
      <c r="DT1264" s="8"/>
      <c r="DU1264" s="8"/>
      <c r="DV1264" s="8"/>
      <c r="DW1264" s="8"/>
      <c r="DX1264" s="8"/>
      <c r="DY1264" s="8"/>
      <c r="DZ1264" s="8"/>
      <c r="EA1264" s="8"/>
      <c r="EB1264" s="8"/>
      <c r="EC1264" s="8"/>
      <c r="ED1264" s="8"/>
      <c r="EE1264" s="8"/>
      <c r="EF1264" s="8"/>
      <c r="EG1264" s="8"/>
      <c r="EH1264" s="8"/>
      <c r="EI1264" s="8"/>
      <c r="EJ1264" s="8"/>
      <c r="EK1264" s="8"/>
      <c r="EL1264" s="8"/>
      <c r="EM1264" s="8"/>
      <c r="EN1264" s="8"/>
      <c r="EO1264" s="8"/>
      <c r="EP1264" s="8"/>
      <c r="EQ1264" s="8"/>
      <c r="ER1264" s="8"/>
      <c r="ES1264" s="8"/>
      <c r="ET1264" s="8"/>
      <c r="EU1264" s="8"/>
      <c r="EV1264" s="8"/>
      <c r="EW1264" s="8"/>
      <c r="EX1264" s="8"/>
      <c r="EY1264" s="8"/>
      <c r="EZ1264" s="8"/>
      <c r="FA1264" s="8"/>
      <c r="FB1264" s="8"/>
      <c r="FC1264" s="8"/>
      <c r="FD1264" s="8"/>
      <c r="FE1264" s="8"/>
      <c r="FF1264" s="8"/>
      <c r="FG1264" s="8"/>
      <c r="FH1264" s="8"/>
      <c r="FI1264" s="8"/>
      <c r="FJ1264" s="8"/>
      <c r="FK1264" s="8"/>
      <c r="FL1264" s="8"/>
      <c r="FM1264" s="8"/>
      <c r="FN1264" s="8"/>
      <c r="FO1264" s="8"/>
      <c r="FP1264" s="8"/>
      <c r="FQ1264" s="8"/>
      <c r="FR1264" s="8"/>
      <c r="FS1264" s="8"/>
      <c r="FT1264" s="8"/>
      <c r="FU1264" s="8"/>
      <c r="FV1264" s="8"/>
      <c r="FW1264" s="8"/>
      <c r="FX1264" s="8"/>
      <c r="FY1264" s="8"/>
      <c r="FZ1264" s="8"/>
      <c r="GA1264" s="8"/>
      <c r="GB1264" s="8"/>
      <c r="GC1264" s="8"/>
      <c r="GD1264" s="8"/>
      <c r="GE1264" s="8"/>
      <c r="GF1264" s="8"/>
      <c r="GG1264" s="8"/>
      <c r="GH1264" s="8"/>
      <c r="GI1264" s="8"/>
      <c r="GJ1264" s="8"/>
      <c r="GK1264" s="8"/>
      <c r="GL1264" s="8"/>
      <c r="GM1264" s="8"/>
      <c r="GN1264" s="8"/>
      <c r="GO1264" s="8"/>
      <c r="GP1264" s="8"/>
      <c r="GQ1264" s="8"/>
      <c r="GR1264" s="8"/>
      <c r="GS1264" s="8"/>
      <c r="GT1264" s="8"/>
      <c r="GU1264" s="8"/>
      <c r="GV1264" s="8"/>
      <c r="GW1264" s="8"/>
      <c r="GX1264" s="8"/>
      <c r="GY1264" s="8"/>
      <c r="GZ1264" s="8"/>
      <c r="HA1264" s="8"/>
      <c r="HB1264" s="8"/>
      <c r="HC1264" s="8"/>
      <c r="HD1264" s="8"/>
      <c r="HE1264" s="8"/>
      <c r="HF1264" s="8"/>
      <c r="HG1264" s="8"/>
      <c r="HH1264" s="8"/>
      <c r="HI1264" s="8"/>
      <c r="HJ1264" s="8"/>
      <c r="HK1264" s="8"/>
      <c r="HL1264" s="8"/>
      <c r="HM1264" s="8"/>
      <c r="HN1264" s="8"/>
      <c r="HO1264" s="8"/>
      <c r="HP1264" s="8"/>
      <c r="HQ1264" s="8"/>
      <c r="HR1264" s="8"/>
      <c r="HS1264" s="8"/>
      <c r="HT1264" s="8"/>
      <c r="HU1264" s="8"/>
      <c r="HV1264" s="8"/>
      <c r="HW1264" s="8"/>
      <c r="HX1264" s="8"/>
      <c r="HY1264" s="8"/>
      <c r="HZ1264" s="8"/>
      <c r="IA1264" s="8"/>
      <c r="IB1264" s="8"/>
      <c r="IC1264" s="8"/>
      <c r="ID1264" s="8"/>
      <c r="IE1264" s="8"/>
      <c r="IF1264" s="8"/>
    </row>
    <row r="1265" spans="1:240" ht="30" customHeight="1">
      <c r="A1265" s="5">
        <v>1263</v>
      </c>
      <c r="B1265" s="5"/>
      <c r="C1265" s="5"/>
      <c r="D1265" s="5" t="s">
        <v>68</v>
      </c>
      <c r="E1265" s="5">
        <v>2400</v>
      </c>
      <c r="F1265" s="5">
        <v>2250</v>
      </c>
      <c r="G1265" s="5">
        <v>2440</v>
      </c>
      <c r="H1265" s="5">
        <v>1518</v>
      </c>
      <c r="I1265" s="5" t="s">
        <v>13</v>
      </c>
      <c r="J1265" s="15">
        <f>4*100/4.4</f>
        <v>90.909090909090907</v>
      </c>
      <c r="K1265" s="17">
        <f t="shared" si="38"/>
        <v>4.1670000000000016</v>
      </c>
      <c r="L1265" s="15">
        <f>100*3782*4.1868/3600</f>
        <v>439.84660000000002</v>
      </c>
      <c r="M1265" s="5">
        <f t="shared" si="39"/>
        <v>3.8890000000000029</v>
      </c>
      <c r="N1265" s="5"/>
      <c r="O1265" s="5">
        <f>25100*1.6978</f>
        <v>42614.78</v>
      </c>
      <c r="P1265" s="5"/>
      <c r="Q1265" s="5"/>
      <c r="R1265" s="5">
        <v>1</v>
      </c>
      <c r="S1265" s="5">
        <v>1000</v>
      </c>
      <c r="T1265" s="5"/>
      <c r="U1265" s="5">
        <v>960</v>
      </c>
      <c r="V1265" s="15">
        <f>0.7457*5*R1265</f>
        <v>3.7285000000000004</v>
      </c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8"/>
      <c r="AP1265" s="8"/>
      <c r="AQ1265" s="8"/>
      <c r="AR1265" s="8"/>
      <c r="AS1265" s="8"/>
      <c r="AT1265" s="8"/>
      <c r="AU1265" s="8"/>
      <c r="AV1265" s="8"/>
      <c r="AW1265" s="8"/>
      <c r="AX1265" s="8"/>
      <c r="AY1265" s="8"/>
      <c r="AZ1265" s="8"/>
      <c r="BA1265" s="8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8"/>
      <c r="BS1265" s="8"/>
      <c r="BT1265" s="8"/>
      <c r="BU1265" s="8"/>
      <c r="BV1265" s="8"/>
      <c r="BW1265" s="8"/>
      <c r="BX1265" s="8"/>
      <c r="BY1265" s="8"/>
      <c r="BZ1265" s="8"/>
      <c r="CA1265" s="8"/>
      <c r="CB1265" s="8"/>
      <c r="CC1265" s="8"/>
      <c r="CD1265" s="8"/>
      <c r="CE1265" s="8"/>
      <c r="CF1265" s="8"/>
      <c r="CG1265" s="8"/>
      <c r="CH1265" s="8"/>
      <c r="CI1265" s="8"/>
      <c r="CJ1265" s="8"/>
      <c r="CK1265" s="8"/>
      <c r="CL1265" s="8"/>
      <c r="CM1265" s="8"/>
      <c r="CN1265" s="8"/>
      <c r="CO1265" s="8"/>
      <c r="CP1265" s="8"/>
      <c r="CQ1265" s="8"/>
      <c r="CR1265" s="8"/>
      <c r="CS1265" s="8"/>
      <c r="CT1265" s="8"/>
      <c r="CU1265" s="8"/>
      <c r="CV1265" s="8"/>
      <c r="CW1265" s="8"/>
      <c r="CX1265" s="8"/>
      <c r="CY1265" s="8"/>
      <c r="CZ1265" s="8"/>
      <c r="DA1265" s="8"/>
      <c r="DB1265" s="8"/>
      <c r="DC1265" s="8"/>
      <c r="DD1265" s="8"/>
      <c r="DE1265" s="8"/>
      <c r="DF1265" s="8"/>
      <c r="DG1265" s="8"/>
      <c r="DH1265" s="8"/>
      <c r="DI1265" s="8"/>
      <c r="DJ1265" s="8"/>
      <c r="DK1265" s="8"/>
      <c r="DL1265" s="8"/>
      <c r="DM1265" s="8"/>
      <c r="DN1265" s="8"/>
      <c r="DO1265" s="8"/>
      <c r="DP1265" s="8"/>
      <c r="DQ1265" s="8"/>
      <c r="DR1265" s="8"/>
      <c r="DS1265" s="8"/>
      <c r="DT1265" s="8"/>
      <c r="DU1265" s="8"/>
      <c r="DV1265" s="8"/>
      <c r="DW1265" s="8"/>
      <c r="DX1265" s="8"/>
      <c r="DY1265" s="8"/>
      <c r="DZ1265" s="8"/>
      <c r="EA1265" s="8"/>
      <c r="EB1265" s="8"/>
      <c r="EC1265" s="8"/>
      <c r="ED1265" s="8"/>
      <c r="EE1265" s="8"/>
      <c r="EF1265" s="8"/>
      <c r="EG1265" s="8"/>
      <c r="EH1265" s="8"/>
      <c r="EI1265" s="8"/>
      <c r="EJ1265" s="8"/>
      <c r="EK1265" s="8"/>
      <c r="EL1265" s="8"/>
      <c r="EM1265" s="8"/>
      <c r="EN1265" s="8"/>
      <c r="EO1265" s="8"/>
      <c r="EP1265" s="8"/>
      <c r="EQ1265" s="8"/>
      <c r="ER1265" s="8"/>
      <c r="ES1265" s="8"/>
      <c r="ET1265" s="8"/>
      <c r="EU1265" s="8"/>
      <c r="EV1265" s="8"/>
      <c r="EW1265" s="8"/>
      <c r="EX1265" s="8"/>
      <c r="EY1265" s="8"/>
      <c r="EZ1265" s="8"/>
      <c r="FA1265" s="8"/>
      <c r="FB1265" s="8"/>
      <c r="FC1265" s="8"/>
      <c r="FD1265" s="8"/>
      <c r="FE1265" s="8"/>
      <c r="FF1265" s="8"/>
      <c r="FG1265" s="8"/>
      <c r="FH1265" s="8"/>
      <c r="FI1265" s="8"/>
      <c r="FJ1265" s="8"/>
      <c r="FK1265" s="8"/>
      <c r="FL1265" s="8"/>
      <c r="FM1265" s="8"/>
      <c r="FN1265" s="8"/>
      <c r="FO1265" s="8"/>
      <c r="FP1265" s="8"/>
      <c r="FQ1265" s="8"/>
      <c r="FR1265" s="8"/>
      <c r="FS1265" s="8"/>
      <c r="FT1265" s="8"/>
      <c r="FU1265" s="8"/>
      <c r="FV1265" s="8"/>
      <c r="FW1265" s="8"/>
      <c r="FX1265" s="8"/>
      <c r="FY1265" s="8"/>
      <c r="FZ1265" s="8"/>
      <c r="GA1265" s="8"/>
      <c r="GB1265" s="8"/>
      <c r="GC1265" s="8"/>
      <c r="GD1265" s="8"/>
      <c r="GE1265" s="8"/>
      <c r="GF1265" s="8"/>
      <c r="GG1265" s="8"/>
      <c r="GH1265" s="8"/>
      <c r="GI1265" s="8"/>
      <c r="GJ1265" s="8"/>
      <c r="GK1265" s="8"/>
      <c r="GL1265" s="8"/>
      <c r="GM1265" s="8"/>
      <c r="GN1265" s="8"/>
      <c r="GO1265" s="8"/>
      <c r="GP1265" s="8"/>
      <c r="GQ1265" s="8"/>
      <c r="GR1265" s="8"/>
      <c r="GS1265" s="8"/>
      <c r="GT1265" s="8"/>
      <c r="GU1265" s="8"/>
      <c r="GV1265" s="8"/>
      <c r="GW1265" s="8"/>
      <c r="GX1265" s="8"/>
      <c r="GY1265" s="8"/>
      <c r="GZ1265" s="8"/>
      <c r="HA1265" s="8"/>
      <c r="HB1265" s="8"/>
      <c r="HC1265" s="8"/>
      <c r="HD1265" s="8"/>
      <c r="HE1265" s="8"/>
      <c r="HF1265" s="8"/>
      <c r="HG1265" s="8"/>
      <c r="HH1265" s="8"/>
      <c r="HI1265" s="8"/>
      <c r="HJ1265" s="8"/>
      <c r="HK1265" s="8"/>
      <c r="HL1265" s="8"/>
      <c r="HM1265" s="8"/>
      <c r="HN1265" s="8"/>
      <c r="HO1265" s="8"/>
      <c r="HP1265" s="8"/>
      <c r="HQ1265" s="8"/>
      <c r="HR1265" s="8"/>
      <c r="HS1265" s="8"/>
      <c r="HT1265" s="8"/>
      <c r="HU1265" s="8"/>
      <c r="HV1265" s="8"/>
      <c r="HW1265" s="8"/>
      <c r="HX1265" s="8"/>
      <c r="HY1265" s="8"/>
      <c r="HZ1265" s="8"/>
      <c r="IA1265" s="8"/>
      <c r="IB1265" s="8"/>
      <c r="IC1265" s="8"/>
      <c r="ID1265" s="8"/>
      <c r="IE1265" s="8"/>
      <c r="IF1265" s="8"/>
    </row>
    <row r="1266" spans="1:240" ht="30" customHeight="1">
      <c r="A1266" s="5">
        <v>1264</v>
      </c>
      <c r="B1266" s="5"/>
      <c r="C1266" s="5"/>
      <c r="D1266" s="5" t="s">
        <v>68</v>
      </c>
      <c r="E1266" s="5">
        <v>2400</v>
      </c>
      <c r="F1266" s="5">
        <v>2700</v>
      </c>
      <c r="G1266" s="5">
        <v>2670</v>
      </c>
      <c r="H1266" s="5">
        <v>1792</v>
      </c>
      <c r="I1266" s="5" t="s">
        <v>13</v>
      </c>
      <c r="J1266" s="15">
        <f>4*120/4.4</f>
        <v>109.09090909090908</v>
      </c>
      <c r="K1266" s="17">
        <f t="shared" si="38"/>
        <v>4.1670000000000016</v>
      </c>
      <c r="L1266" s="15">
        <f>120*3782*4.1868/3600</f>
        <v>527.81592000000001</v>
      </c>
      <c r="M1266" s="5">
        <f t="shared" si="39"/>
        <v>3.8890000000000029</v>
      </c>
      <c r="N1266" s="5"/>
      <c r="O1266" s="5">
        <f>30150*1.6978</f>
        <v>51188.67</v>
      </c>
      <c r="P1266" s="5"/>
      <c r="Q1266" s="5"/>
      <c r="R1266" s="5">
        <v>1</v>
      </c>
      <c r="S1266" s="5">
        <v>1200</v>
      </c>
      <c r="T1266" s="5"/>
      <c r="U1266" s="5">
        <v>960</v>
      </c>
      <c r="V1266" s="15">
        <f>0.7457*7.5*R1266</f>
        <v>5.5927500000000006</v>
      </c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8"/>
      <c r="BS1266" s="8"/>
      <c r="BT1266" s="8"/>
      <c r="BU1266" s="8"/>
      <c r="BV1266" s="8"/>
      <c r="BW1266" s="8"/>
      <c r="BX1266" s="8"/>
      <c r="BY1266" s="8"/>
      <c r="BZ1266" s="8"/>
      <c r="CA1266" s="8"/>
      <c r="CB1266" s="8"/>
      <c r="CC1266" s="8"/>
      <c r="CD1266" s="8"/>
      <c r="CE1266" s="8"/>
      <c r="CF1266" s="8"/>
      <c r="CG1266" s="8"/>
      <c r="CH1266" s="8"/>
      <c r="CI1266" s="8"/>
      <c r="CJ1266" s="8"/>
      <c r="CK1266" s="8"/>
      <c r="CL1266" s="8"/>
      <c r="CM1266" s="8"/>
      <c r="CN1266" s="8"/>
      <c r="CO1266" s="8"/>
      <c r="CP1266" s="8"/>
      <c r="CQ1266" s="8"/>
      <c r="CR1266" s="8"/>
      <c r="CS1266" s="8"/>
      <c r="CT1266" s="8"/>
      <c r="CU1266" s="8"/>
      <c r="CV1266" s="8"/>
      <c r="CW1266" s="8"/>
      <c r="CX1266" s="8"/>
      <c r="CY1266" s="8"/>
      <c r="CZ1266" s="8"/>
      <c r="DA1266" s="8"/>
      <c r="DB1266" s="8"/>
      <c r="DC1266" s="8"/>
      <c r="DD1266" s="8"/>
      <c r="DE1266" s="8"/>
      <c r="DF1266" s="8"/>
      <c r="DG1266" s="8"/>
      <c r="DH1266" s="8"/>
      <c r="DI1266" s="8"/>
      <c r="DJ1266" s="8"/>
      <c r="DK1266" s="8"/>
      <c r="DL1266" s="8"/>
      <c r="DM1266" s="8"/>
      <c r="DN1266" s="8"/>
      <c r="DO1266" s="8"/>
      <c r="DP1266" s="8"/>
      <c r="DQ1266" s="8"/>
      <c r="DR1266" s="8"/>
      <c r="DS1266" s="8"/>
      <c r="DT1266" s="8"/>
      <c r="DU1266" s="8"/>
      <c r="DV1266" s="8"/>
      <c r="DW1266" s="8"/>
      <c r="DX1266" s="8"/>
      <c r="DY1266" s="8"/>
      <c r="DZ1266" s="8"/>
      <c r="EA1266" s="8"/>
      <c r="EB1266" s="8"/>
      <c r="EC1266" s="8"/>
      <c r="ED1266" s="8"/>
      <c r="EE1266" s="8"/>
      <c r="EF1266" s="8"/>
      <c r="EG1266" s="8"/>
      <c r="EH1266" s="8"/>
      <c r="EI1266" s="8"/>
      <c r="EJ1266" s="8"/>
      <c r="EK1266" s="8"/>
      <c r="EL1266" s="8"/>
      <c r="EM1266" s="8"/>
      <c r="EN1266" s="8"/>
      <c r="EO1266" s="8"/>
      <c r="EP1266" s="8"/>
      <c r="EQ1266" s="8"/>
      <c r="ER1266" s="8"/>
      <c r="ES1266" s="8"/>
      <c r="ET1266" s="8"/>
      <c r="EU1266" s="8"/>
      <c r="EV1266" s="8"/>
      <c r="EW1266" s="8"/>
      <c r="EX1266" s="8"/>
      <c r="EY1266" s="8"/>
      <c r="EZ1266" s="8"/>
      <c r="FA1266" s="8"/>
      <c r="FB1266" s="8"/>
      <c r="FC1266" s="8"/>
      <c r="FD1266" s="8"/>
      <c r="FE1266" s="8"/>
      <c r="FF1266" s="8"/>
      <c r="FG1266" s="8"/>
      <c r="FH1266" s="8"/>
      <c r="FI1266" s="8"/>
      <c r="FJ1266" s="8"/>
      <c r="FK1266" s="8"/>
      <c r="FL1266" s="8"/>
      <c r="FM1266" s="8"/>
      <c r="FN1266" s="8"/>
      <c r="FO1266" s="8"/>
      <c r="FP1266" s="8"/>
      <c r="FQ1266" s="8"/>
      <c r="FR1266" s="8"/>
      <c r="FS1266" s="8"/>
      <c r="FT1266" s="8"/>
      <c r="FU1266" s="8"/>
      <c r="FV1266" s="8"/>
      <c r="FW1266" s="8"/>
      <c r="FX1266" s="8"/>
      <c r="FY1266" s="8"/>
      <c r="FZ1266" s="8"/>
      <c r="GA1266" s="8"/>
      <c r="GB1266" s="8"/>
      <c r="GC1266" s="8"/>
      <c r="GD1266" s="8"/>
      <c r="GE1266" s="8"/>
      <c r="GF1266" s="8"/>
      <c r="GG1266" s="8"/>
      <c r="GH1266" s="8"/>
      <c r="GI1266" s="8"/>
      <c r="GJ1266" s="8"/>
      <c r="GK1266" s="8"/>
      <c r="GL1266" s="8"/>
      <c r="GM1266" s="8"/>
      <c r="GN1266" s="8"/>
      <c r="GO1266" s="8"/>
      <c r="GP1266" s="8"/>
      <c r="GQ1266" s="8"/>
      <c r="GR1266" s="8"/>
      <c r="GS1266" s="8"/>
      <c r="GT1266" s="8"/>
      <c r="GU1266" s="8"/>
      <c r="GV1266" s="8"/>
      <c r="GW1266" s="8"/>
      <c r="GX1266" s="8"/>
      <c r="GY1266" s="8"/>
      <c r="GZ1266" s="8"/>
      <c r="HA1266" s="8"/>
      <c r="HB1266" s="8"/>
      <c r="HC1266" s="8"/>
      <c r="HD1266" s="8"/>
      <c r="HE1266" s="8"/>
      <c r="HF1266" s="8"/>
      <c r="HG1266" s="8"/>
      <c r="HH1266" s="8"/>
      <c r="HI1266" s="8"/>
      <c r="HJ1266" s="8"/>
      <c r="HK1266" s="8"/>
      <c r="HL1266" s="8"/>
      <c r="HM1266" s="8"/>
      <c r="HN1266" s="8"/>
      <c r="HO1266" s="8"/>
      <c r="HP1266" s="8"/>
      <c r="HQ1266" s="8"/>
      <c r="HR1266" s="8"/>
      <c r="HS1266" s="8"/>
      <c r="HT1266" s="8"/>
      <c r="HU1266" s="8"/>
      <c r="HV1266" s="8"/>
      <c r="HW1266" s="8"/>
      <c r="HX1266" s="8"/>
      <c r="HY1266" s="8"/>
      <c r="HZ1266" s="8"/>
      <c r="IA1266" s="8"/>
      <c r="IB1266" s="8"/>
      <c r="IC1266" s="8"/>
      <c r="ID1266" s="8"/>
      <c r="IE1266" s="8"/>
      <c r="IF1266" s="8"/>
    </row>
    <row r="1267" spans="1:240" ht="30" customHeight="1">
      <c r="A1267" s="5">
        <v>1265</v>
      </c>
      <c r="B1267" s="5"/>
      <c r="C1267" s="5"/>
      <c r="D1267" s="5" t="s">
        <v>68</v>
      </c>
      <c r="E1267" s="5">
        <v>3000</v>
      </c>
      <c r="F1267" s="5">
        <v>2400</v>
      </c>
      <c r="G1267" s="5">
        <v>2670</v>
      </c>
      <c r="H1267" s="5">
        <v>1991</v>
      </c>
      <c r="I1267" s="5" t="s">
        <v>13</v>
      </c>
      <c r="J1267" s="15">
        <f>4*135/4.4</f>
        <v>122.72727272727272</v>
      </c>
      <c r="K1267" s="17">
        <f t="shared" si="38"/>
        <v>4.1670000000000016</v>
      </c>
      <c r="L1267" s="15">
        <f>135*3782*4.1868/3600</f>
        <v>593.79290999999989</v>
      </c>
      <c r="M1267" s="5">
        <f t="shared" si="39"/>
        <v>3.8890000000000029</v>
      </c>
      <c r="N1267" s="5"/>
      <c r="O1267" s="5">
        <f>33500*1.6978</f>
        <v>56876.299999999996</v>
      </c>
      <c r="P1267" s="5"/>
      <c r="Q1267" s="5"/>
      <c r="R1267" s="5">
        <v>1</v>
      </c>
      <c r="S1267" s="5">
        <v>1200</v>
      </c>
      <c r="T1267" s="5"/>
      <c r="U1267" s="5">
        <v>960</v>
      </c>
      <c r="V1267" s="15">
        <f>0.7457*7.5*R1267</f>
        <v>5.5927500000000006</v>
      </c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8"/>
      <c r="AP1267" s="8"/>
      <c r="AQ1267" s="8"/>
      <c r="AR1267" s="8"/>
      <c r="AS1267" s="8"/>
      <c r="AT1267" s="8"/>
      <c r="AU1267" s="8"/>
      <c r="AV1267" s="8"/>
      <c r="AW1267" s="8"/>
      <c r="AX1267" s="8"/>
      <c r="AY1267" s="8"/>
      <c r="AZ1267" s="8"/>
      <c r="BA1267" s="8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8"/>
      <c r="BS1267" s="8"/>
      <c r="BT1267" s="8"/>
      <c r="BU1267" s="8"/>
      <c r="BV1267" s="8"/>
      <c r="BW1267" s="8"/>
      <c r="BX1267" s="8"/>
      <c r="BY1267" s="8"/>
      <c r="BZ1267" s="8"/>
      <c r="CA1267" s="8"/>
      <c r="CB1267" s="8"/>
      <c r="CC1267" s="8"/>
      <c r="CD1267" s="8"/>
      <c r="CE1267" s="8"/>
      <c r="CF1267" s="8"/>
      <c r="CG1267" s="8"/>
      <c r="CH1267" s="8"/>
      <c r="CI1267" s="8"/>
      <c r="CJ1267" s="8"/>
      <c r="CK1267" s="8"/>
      <c r="CL1267" s="8"/>
      <c r="CM1267" s="8"/>
      <c r="CN1267" s="8"/>
      <c r="CO1267" s="8"/>
      <c r="CP1267" s="8"/>
      <c r="CQ1267" s="8"/>
      <c r="CR1267" s="8"/>
      <c r="CS1267" s="8"/>
      <c r="CT1267" s="8"/>
      <c r="CU1267" s="8"/>
      <c r="CV1267" s="8"/>
      <c r="CW1267" s="8"/>
      <c r="CX1267" s="8"/>
      <c r="CY1267" s="8"/>
      <c r="CZ1267" s="8"/>
      <c r="DA1267" s="8"/>
      <c r="DB1267" s="8"/>
      <c r="DC1267" s="8"/>
      <c r="DD1267" s="8"/>
      <c r="DE1267" s="8"/>
      <c r="DF1267" s="8"/>
      <c r="DG1267" s="8"/>
      <c r="DH1267" s="8"/>
      <c r="DI1267" s="8"/>
      <c r="DJ1267" s="8"/>
      <c r="DK1267" s="8"/>
      <c r="DL1267" s="8"/>
      <c r="DM1267" s="8"/>
      <c r="DN1267" s="8"/>
      <c r="DO1267" s="8"/>
      <c r="DP1267" s="8"/>
      <c r="DQ1267" s="8"/>
      <c r="DR1267" s="8"/>
      <c r="DS1267" s="8"/>
      <c r="DT1267" s="8"/>
      <c r="DU1267" s="8"/>
      <c r="DV1267" s="8"/>
      <c r="DW1267" s="8"/>
      <c r="DX1267" s="8"/>
      <c r="DY1267" s="8"/>
      <c r="DZ1267" s="8"/>
      <c r="EA1267" s="8"/>
      <c r="EB1267" s="8"/>
      <c r="EC1267" s="8"/>
      <c r="ED1267" s="8"/>
      <c r="EE1267" s="8"/>
      <c r="EF1267" s="8"/>
      <c r="EG1267" s="8"/>
      <c r="EH1267" s="8"/>
      <c r="EI1267" s="8"/>
      <c r="EJ1267" s="8"/>
      <c r="EK1267" s="8"/>
      <c r="EL1267" s="8"/>
      <c r="EM1267" s="8"/>
      <c r="EN1267" s="8"/>
      <c r="EO1267" s="8"/>
      <c r="EP1267" s="8"/>
      <c r="EQ1267" s="8"/>
      <c r="ER1267" s="8"/>
      <c r="ES1267" s="8"/>
      <c r="ET1267" s="8"/>
      <c r="EU1267" s="8"/>
      <c r="EV1267" s="8"/>
      <c r="EW1267" s="8"/>
      <c r="EX1267" s="8"/>
      <c r="EY1267" s="8"/>
      <c r="EZ1267" s="8"/>
      <c r="FA1267" s="8"/>
      <c r="FB1267" s="8"/>
      <c r="FC1267" s="8"/>
      <c r="FD1267" s="8"/>
      <c r="FE1267" s="8"/>
      <c r="FF1267" s="8"/>
      <c r="FG1267" s="8"/>
      <c r="FH1267" s="8"/>
      <c r="FI1267" s="8"/>
      <c r="FJ1267" s="8"/>
      <c r="FK1267" s="8"/>
      <c r="FL1267" s="8"/>
      <c r="FM1267" s="8"/>
      <c r="FN1267" s="8"/>
      <c r="FO1267" s="8"/>
      <c r="FP1267" s="8"/>
      <c r="FQ1267" s="8"/>
      <c r="FR1267" s="8"/>
      <c r="FS1267" s="8"/>
      <c r="FT1267" s="8"/>
      <c r="FU1267" s="8"/>
      <c r="FV1267" s="8"/>
      <c r="FW1267" s="8"/>
      <c r="FX1267" s="8"/>
      <c r="FY1267" s="8"/>
      <c r="FZ1267" s="8"/>
      <c r="GA1267" s="8"/>
      <c r="GB1267" s="8"/>
      <c r="GC1267" s="8"/>
      <c r="GD1267" s="8"/>
      <c r="GE1267" s="8"/>
      <c r="GF1267" s="8"/>
      <c r="GG1267" s="8"/>
      <c r="GH1267" s="8"/>
      <c r="GI1267" s="8"/>
      <c r="GJ1267" s="8"/>
      <c r="GK1267" s="8"/>
      <c r="GL1267" s="8"/>
      <c r="GM1267" s="8"/>
      <c r="GN1267" s="8"/>
      <c r="GO1267" s="8"/>
      <c r="GP1267" s="8"/>
      <c r="GQ1267" s="8"/>
      <c r="GR1267" s="8"/>
      <c r="GS1267" s="8"/>
      <c r="GT1267" s="8"/>
      <c r="GU1267" s="8"/>
      <c r="GV1267" s="8"/>
      <c r="GW1267" s="8"/>
      <c r="GX1267" s="8"/>
      <c r="GY1267" s="8"/>
      <c r="GZ1267" s="8"/>
      <c r="HA1267" s="8"/>
      <c r="HB1267" s="8"/>
      <c r="HC1267" s="8"/>
      <c r="HD1267" s="8"/>
      <c r="HE1267" s="8"/>
      <c r="HF1267" s="8"/>
      <c r="HG1267" s="8"/>
      <c r="HH1267" s="8"/>
      <c r="HI1267" s="8"/>
      <c r="HJ1267" s="8"/>
      <c r="HK1267" s="8"/>
      <c r="HL1267" s="8"/>
      <c r="HM1267" s="8"/>
      <c r="HN1267" s="8"/>
      <c r="HO1267" s="8"/>
      <c r="HP1267" s="8"/>
      <c r="HQ1267" s="8"/>
      <c r="HR1267" s="8"/>
      <c r="HS1267" s="8"/>
      <c r="HT1267" s="8"/>
      <c r="HU1267" s="8"/>
      <c r="HV1267" s="8"/>
      <c r="HW1267" s="8"/>
      <c r="HX1267" s="8"/>
      <c r="HY1267" s="8"/>
      <c r="HZ1267" s="8"/>
      <c r="IA1267" s="8"/>
      <c r="IB1267" s="8"/>
      <c r="IC1267" s="8"/>
      <c r="ID1267" s="8"/>
      <c r="IE1267" s="8"/>
      <c r="IF1267" s="8"/>
    </row>
    <row r="1268" spans="1:240" ht="30" customHeight="1">
      <c r="A1268" s="5">
        <v>1266</v>
      </c>
      <c r="B1268" s="5"/>
      <c r="C1268" s="5"/>
      <c r="D1268" s="5" t="s">
        <v>68</v>
      </c>
      <c r="E1268" s="5">
        <v>3000</v>
      </c>
      <c r="F1268" s="5">
        <v>2700</v>
      </c>
      <c r="G1268" s="5">
        <v>2670</v>
      </c>
      <c r="H1268" s="5">
        <v>2245</v>
      </c>
      <c r="I1268" s="5" t="s">
        <v>13</v>
      </c>
      <c r="J1268" s="15">
        <f>4*150/4.4</f>
        <v>136.36363636363635</v>
      </c>
      <c r="K1268" s="17">
        <f t="shared" si="38"/>
        <v>4.1670000000000016</v>
      </c>
      <c r="L1268" s="15">
        <f>150*3782*4.1868/3600</f>
        <v>659.76990000000001</v>
      </c>
      <c r="M1268" s="5">
        <f t="shared" si="39"/>
        <v>3.8890000000000029</v>
      </c>
      <c r="N1268" s="5"/>
      <c r="O1268" s="5">
        <f>37700*1.6978</f>
        <v>64007.06</v>
      </c>
      <c r="P1268" s="5"/>
      <c r="Q1268" s="5"/>
      <c r="R1268" s="5">
        <v>1</v>
      </c>
      <c r="S1268" s="5">
        <v>1200</v>
      </c>
      <c r="T1268" s="5"/>
      <c r="U1268" s="5">
        <v>960</v>
      </c>
      <c r="V1268" s="15">
        <f>0.7457*7.5*R1268</f>
        <v>5.5927500000000006</v>
      </c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8"/>
      <c r="BS1268" s="8"/>
      <c r="BT1268" s="8"/>
      <c r="BU1268" s="8"/>
      <c r="BV1268" s="8"/>
      <c r="BW1268" s="8"/>
      <c r="BX1268" s="8"/>
      <c r="BY1268" s="8"/>
      <c r="BZ1268" s="8"/>
      <c r="CA1268" s="8"/>
      <c r="CB1268" s="8"/>
      <c r="CC1268" s="8"/>
      <c r="CD1268" s="8"/>
      <c r="CE1268" s="8"/>
      <c r="CF1268" s="8"/>
      <c r="CG1268" s="8"/>
      <c r="CH1268" s="8"/>
      <c r="CI1268" s="8"/>
      <c r="CJ1268" s="8"/>
      <c r="CK1268" s="8"/>
      <c r="CL1268" s="8"/>
      <c r="CM1268" s="8"/>
      <c r="CN1268" s="8"/>
      <c r="CO1268" s="8"/>
      <c r="CP1268" s="8"/>
      <c r="CQ1268" s="8"/>
      <c r="CR1268" s="8"/>
      <c r="CS1268" s="8"/>
      <c r="CT1268" s="8"/>
      <c r="CU1268" s="8"/>
      <c r="CV1268" s="8"/>
      <c r="CW1268" s="8"/>
      <c r="CX1268" s="8"/>
      <c r="CY1268" s="8"/>
      <c r="CZ1268" s="8"/>
      <c r="DA1268" s="8"/>
      <c r="DB1268" s="8"/>
      <c r="DC1268" s="8"/>
      <c r="DD1268" s="8"/>
      <c r="DE1268" s="8"/>
      <c r="DF1268" s="8"/>
      <c r="DG1268" s="8"/>
      <c r="DH1268" s="8"/>
      <c r="DI1268" s="8"/>
      <c r="DJ1268" s="8"/>
      <c r="DK1268" s="8"/>
      <c r="DL1268" s="8"/>
      <c r="DM1268" s="8"/>
      <c r="DN1268" s="8"/>
      <c r="DO1268" s="8"/>
      <c r="DP1268" s="8"/>
      <c r="DQ1268" s="8"/>
      <c r="DR1268" s="8"/>
      <c r="DS1268" s="8"/>
      <c r="DT1268" s="8"/>
      <c r="DU1268" s="8"/>
      <c r="DV1268" s="8"/>
      <c r="DW1268" s="8"/>
      <c r="DX1268" s="8"/>
      <c r="DY1268" s="8"/>
      <c r="DZ1268" s="8"/>
      <c r="EA1268" s="8"/>
      <c r="EB1268" s="8"/>
      <c r="EC1268" s="8"/>
      <c r="ED1268" s="8"/>
      <c r="EE1268" s="8"/>
      <c r="EF1268" s="8"/>
      <c r="EG1268" s="8"/>
      <c r="EH1268" s="8"/>
      <c r="EI1268" s="8"/>
      <c r="EJ1268" s="8"/>
      <c r="EK1268" s="8"/>
      <c r="EL1268" s="8"/>
      <c r="EM1268" s="8"/>
      <c r="EN1268" s="8"/>
      <c r="EO1268" s="8"/>
      <c r="EP1268" s="8"/>
      <c r="EQ1268" s="8"/>
      <c r="ER1268" s="8"/>
      <c r="ES1268" s="8"/>
      <c r="ET1268" s="8"/>
      <c r="EU1268" s="8"/>
      <c r="EV1268" s="8"/>
      <c r="EW1268" s="8"/>
      <c r="EX1268" s="8"/>
      <c r="EY1268" s="8"/>
      <c r="EZ1268" s="8"/>
      <c r="FA1268" s="8"/>
      <c r="FB1268" s="8"/>
      <c r="FC1268" s="8"/>
      <c r="FD1268" s="8"/>
      <c r="FE1268" s="8"/>
      <c r="FF1268" s="8"/>
      <c r="FG1268" s="8"/>
      <c r="FH1268" s="8"/>
      <c r="FI1268" s="8"/>
      <c r="FJ1268" s="8"/>
      <c r="FK1268" s="8"/>
      <c r="FL1268" s="8"/>
      <c r="FM1268" s="8"/>
      <c r="FN1268" s="8"/>
      <c r="FO1268" s="8"/>
      <c r="FP1268" s="8"/>
      <c r="FQ1268" s="8"/>
      <c r="FR1268" s="8"/>
      <c r="FS1268" s="8"/>
      <c r="FT1268" s="8"/>
      <c r="FU1268" s="8"/>
      <c r="FV1268" s="8"/>
      <c r="FW1268" s="8"/>
      <c r="FX1268" s="8"/>
      <c r="FY1268" s="8"/>
      <c r="FZ1268" s="8"/>
      <c r="GA1268" s="8"/>
      <c r="GB1268" s="8"/>
      <c r="GC1268" s="8"/>
      <c r="GD1268" s="8"/>
      <c r="GE1268" s="8"/>
      <c r="GF1268" s="8"/>
      <c r="GG1268" s="8"/>
      <c r="GH1268" s="8"/>
      <c r="GI1268" s="8"/>
      <c r="GJ1268" s="8"/>
      <c r="GK1268" s="8"/>
      <c r="GL1268" s="8"/>
      <c r="GM1268" s="8"/>
      <c r="GN1268" s="8"/>
      <c r="GO1268" s="8"/>
      <c r="GP1268" s="8"/>
      <c r="GQ1268" s="8"/>
      <c r="GR1268" s="8"/>
      <c r="GS1268" s="8"/>
      <c r="GT1268" s="8"/>
      <c r="GU1268" s="8"/>
      <c r="GV1268" s="8"/>
      <c r="GW1268" s="8"/>
      <c r="GX1268" s="8"/>
      <c r="GY1268" s="8"/>
      <c r="GZ1268" s="8"/>
      <c r="HA1268" s="8"/>
      <c r="HB1268" s="8"/>
      <c r="HC1268" s="8"/>
      <c r="HD1268" s="8"/>
      <c r="HE1268" s="8"/>
      <c r="HF1268" s="8"/>
      <c r="HG1268" s="8"/>
      <c r="HH1268" s="8"/>
      <c r="HI1268" s="8"/>
      <c r="HJ1268" s="8"/>
      <c r="HK1268" s="8"/>
      <c r="HL1268" s="8"/>
      <c r="HM1268" s="8"/>
      <c r="HN1268" s="8"/>
      <c r="HO1268" s="8"/>
      <c r="HP1268" s="8"/>
      <c r="HQ1268" s="8"/>
      <c r="HR1268" s="8"/>
      <c r="HS1268" s="8"/>
      <c r="HT1268" s="8"/>
      <c r="HU1268" s="8"/>
      <c r="HV1268" s="8"/>
      <c r="HW1268" s="8"/>
      <c r="HX1268" s="8"/>
      <c r="HY1268" s="8"/>
      <c r="HZ1268" s="8"/>
      <c r="IA1268" s="8"/>
      <c r="IB1268" s="8"/>
      <c r="IC1268" s="8"/>
      <c r="ID1268" s="8"/>
      <c r="IE1268" s="8"/>
      <c r="IF1268" s="8"/>
    </row>
    <row r="1269" spans="1:240" ht="30" customHeight="1">
      <c r="A1269" s="5">
        <v>1267</v>
      </c>
      <c r="B1269" s="5"/>
      <c r="C1269" s="5"/>
      <c r="D1269" s="5" t="s">
        <v>68</v>
      </c>
      <c r="E1269" s="5">
        <v>3000</v>
      </c>
      <c r="F1269" s="5">
        <v>3000</v>
      </c>
      <c r="G1269" s="5">
        <v>2440</v>
      </c>
      <c r="H1269" s="5">
        <v>2400</v>
      </c>
      <c r="I1269" s="5" t="s">
        <v>13</v>
      </c>
      <c r="J1269" s="15">
        <f>4*165/4.4</f>
        <v>150</v>
      </c>
      <c r="K1269" s="17">
        <f t="shared" si="38"/>
        <v>4.1670000000000016</v>
      </c>
      <c r="L1269" s="15">
        <f>165*3782*4.1868/3600</f>
        <v>725.74689000000001</v>
      </c>
      <c r="M1269" s="5">
        <f t="shared" si="39"/>
        <v>3.8890000000000029</v>
      </c>
      <c r="N1269" s="5"/>
      <c r="O1269" s="5">
        <f>20950*1.6978*R1269</f>
        <v>71137.819999999992</v>
      </c>
      <c r="P1269" s="5"/>
      <c r="Q1269" s="5"/>
      <c r="R1269" s="5">
        <v>2</v>
      </c>
      <c r="S1269" s="5">
        <v>1000</v>
      </c>
      <c r="T1269" s="5"/>
      <c r="U1269" s="5">
        <v>960</v>
      </c>
      <c r="V1269" s="15">
        <f>0.7457*5*R1269</f>
        <v>7.4570000000000007</v>
      </c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8"/>
      <c r="BS1269" s="8"/>
      <c r="BT1269" s="8"/>
      <c r="BU1269" s="8"/>
      <c r="BV1269" s="8"/>
      <c r="BW1269" s="8"/>
      <c r="BX1269" s="8"/>
      <c r="BY1269" s="8"/>
      <c r="BZ1269" s="8"/>
      <c r="CA1269" s="8"/>
      <c r="CB1269" s="8"/>
      <c r="CC1269" s="8"/>
      <c r="CD1269" s="8"/>
      <c r="CE1269" s="8"/>
      <c r="CF1269" s="8"/>
      <c r="CG1269" s="8"/>
      <c r="CH1269" s="8"/>
      <c r="CI1269" s="8"/>
      <c r="CJ1269" s="8"/>
      <c r="CK1269" s="8"/>
      <c r="CL1269" s="8"/>
      <c r="CM1269" s="8"/>
      <c r="CN1269" s="8"/>
      <c r="CO1269" s="8"/>
      <c r="CP1269" s="8"/>
      <c r="CQ1269" s="8"/>
      <c r="CR1269" s="8"/>
      <c r="CS1269" s="8"/>
      <c r="CT1269" s="8"/>
      <c r="CU1269" s="8"/>
      <c r="CV1269" s="8"/>
      <c r="CW1269" s="8"/>
      <c r="CX1269" s="8"/>
      <c r="CY1269" s="8"/>
      <c r="CZ1269" s="8"/>
      <c r="DA1269" s="8"/>
      <c r="DB1269" s="8"/>
      <c r="DC1269" s="8"/>
      <c r="DD1269" s="8"/>
      <c r="DE1269" s="8"/>
      <c r="DF1269" s="8"/>
      <c r="DG1269" s="8"/>
      <c r="DH1269" s="8"/>
      <c r="DI1269" s="8"/>
      <c r="DJ1269" s="8"/>
      <c r="DK1269" s="8"/>
      <c r="DL1269" s="8"/>
      <c r="DM1269" s="8"/>
      <c r="DN1269" s="8"/>
      <c r="DO1269" s="8"/>
      <c r="DP1269" s="8"/>
      <c r="DQ1269" s="8"/>
      <c r="DR1269" s="8"/>
      <c r="DS1269" s="8"/>
      <c r="DT1269" s="8"/>
      <c r="DU1269" s="8"/>
      <c r="DV1269" s="8"/>
      <c r="DW1269" s="8"/>
      <c r="DX1269" s="8"/>
      <c r="DY1269" s="8"/>
      <c r="DZ1269" s="8"/>
      <c r="EA1269" s="8"/>
      <c r="EB1269" s="8"/>
      <c r="EC1269" s="8"/>
      <c r="ED1269" s="8"/>
      <c r="EE1269" s="8"/>
      <c r="EF1269" s="8"/>
      <c r="EG1269" s="8"/>
      <c r="EH1269" s="8"/>
      <c r="EI1269" s="8"/>
      <c r="EJ1269" s="8"/>
      <c r="EK1269" s="8"/>
      <c r="EL1269" s="8"/>
      <c r="EM1269" s="8"/>
      <c r="EN1269" s="8"/>
      <c r="EO1269" s="8"/>
      <c r="EP1269" s="8"/>
      <c r="EQ1269" s="8"/>
      <c r="ER1269" s="8"/>
      <c r="ES1269" s="8"/>
      <c r="ET1269" s="8"/>
      <c r="EU1269" s="8"/>
      <c r="EV1269" s="8"/>
      <c r="EW1269" s="8"/>
      <c r="EX1269" s="8"/>
      <c r="EY1269" s="8"/>
      <c r="EZ1269" s="8"/>
      <c r="FA1269" s="8"/>
      <c r="FB1269" s="8"/>
      <c r="FC1269" s="8"/>
      <c r="FD1269" s="8"/>
      <c r="FE1269" s="8"/>
      <c r="FF1269" s="8"/>
      <c r="FG1269" s="8"/>
      <c r="FH1269" s="8"/>
      <c r="FI1269" s="8"/>
      <c r="FJ1269" s="8"/>
      <c r="FK1269" s="8"/>
      <c r="FL1269" s="8"/>
      <c r="FM1269" s="8"/>
      <c r="FN1269" s="8"/>
      <c r="FO1269" s="8"/>
      <c r="FP1269" s="8"/>
      <c r="FQ1269" s="8"/>
      <c r="FR1269" s="8"/>
      <c r="FS1269" s="8"/>
      <c r="FT1269" s="8"/>
      <c r="FU1269" s="8"/>
      <c r="FV1269" s="8"/>
      <c r="FW1269" s="8"/>
      <c r="FX1269" s="8"/>
      <c r="FY1269" s="8"/>
      <c r="FZ1269" s="8"/>
      <c r="GA1269" s="8"/>
      <c r="GB1269" s="8"/>
      <c r="GC1269" s="8"/>
      <c r="GD1269" s="8"/>
      <c r="GE1269" s="8"/>
      <c r="GF1269" s="8"/>
      <c r="GG1269" s="8"/>
      <c r="GH1269" s="8"/>
      <c r="GI1269" s="8"/>
      <c r="GJ1269" s="8"/>
      <c r="GK1269" s="8"/>
      <c r="GL1269" s="8"/>
      <c r="GM1269" s="8"/>
      <c r="GN1269" s="8"/>
      <c r="GO1269" s="8"/>
      <c r="GP1269" s="8"/>
      <c r="GQ1269" s="8"/>
      <c r="GR1269" s="8"/>
      <c r="GS1269" s="8"/>
      <c r="GT1269" s="8"/>
      <c r="GU1269" s="8"/>
      <c r="GV1269" s="8"/>
      <c r="GW1269" s="8"/>
      <c r="GX1269" s="8"/>
      <c r="GY1269" s="8"/>
      <c r="GZ1269" s="8"/>
      <c r="HA1269" s="8"/>
      <c r="HB1269" s="8"/>
      <c r="HC1269" s="8"/>
      <c r="HD1269" s="8"/>
      <c r="HE1269" s="8"/>
      <c r="HF1269" s="8"/>
      <c r="HG1269" s="8"/>
      <c r="HH1269" s="8"/>
      <c r="HI1269" s="8"/>
      <c r="HJ1269" s="8"/>
      <c r="HK1269" s="8"/>
      <c r="HL1269" s="8"/>
      <c r="HM1269" s="8"/>
      <c r="HN1269" s="8"/>
      <c r="HO1269" s="8"/>
      <c r="HP1269" s="8"/>
      <c r="HQ1269" s="8"/>
      <c r="HR1269" s="8"/>
      <c r="HS1269" s="8"/>
      <c r="HT1269" s="8"/>
      <c r="HU1269" s="8"/>
      <c r="HV1269" s="8"/>
      <c r="HW1269" s="8"/>
      <c r="HX1269" s="8"/>
      <c r="HY1269" s="8"/>
      <c r="HZ1269" s="8"/>
      <c r="IA1269" s="8"/>
      <c r="IB1269" s="8"/>
      <c r="IC1269" s="8"/>
      <c r="ID1269" s="8"/>
      <c r="IE1269" s="8"/>
      <c r="IF1269" s="8"/>
    </row>
    <row r="1270" spans="1:240" ht="30" customHeight="1">
      <c r="A1270" s="5">
        <v>1268</v>
      </c>
      <c r="B1270" s="5"/>
      <c r="C1270" s="5"/>
      <c r="D1270" s="5" t="s">
        <v>68</v>
      </c>
      <c r="E1270" s="5">
        <v>3000</v>
      </c>
      <c r="F1270" s="5">
        <v>3150</v>
      </c>
      <c r="G1270" s="5">
        <v>2440</v>
      </c>
      <c r="H1270" s="5">
        <v>2575</v>
      </c>
      <c r="I1270" s="5" t="s">
        <v>13</v>
      </c>
      <c r="J1270" s="15">
        <f>4*175/4.4</f>
        <v>159.09090909090907</v>
      </c>
      <c r="K1270" s="17">
        <f t="shared" si="38"/>
        <v>4.1670000000000016</v>
      </c>
      <c r="L1270" s="15">
        <f>175*3782*4.1868/3600</f>
        <v>769.73154999999997</v>
      </c>
      <c r="M1270" s="5">
        <f t="shared" si="39"/>
        <v>3.8890000000000029</v>
      </c>
      <c r="N1270" s="5"/>
      <c r="O1270" s="5">
        <f>22000*1.6978*R1270</f>
        <v>74703.199999999997</v>
      </c>
      <c r="P1270" s="5"/>
      <c r="Q1270" s="5"/>
      <c r="R1270" s="5">
        <v>2</v>
      </c>
      <c r="S1270" s="5">
        <v>1000</v>
      </c>
      <c r="T1270" s="5"/>
      <c r="U1270" s="5">
        <v>960</v>
      </c>
      <c r="V1270" s="15">
        <f>0.7457*5*R1270</f>
        <v>7.4570000000000007</v>
      </c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8"/>
      <c r="AP1270" s="8"/>
      <c r="AQ1270" s="8"/>
      <c r="AR1270" s="8"/>
      <c r="AS1270" s="8"/>
      <c r="AT1270" s="8"/>
      <c r="AU1270" s="8"/>
      <c r="AV1270" s="8"/>
      <c r="AW1270" s="8"/>
      <c r="AX1270" s="8"/>
      <c r="AY1270" s="8"/>
      <c r="AZ1270" s="8"/>
      <c r="BA1270" s="8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8"/>
      <c r="BS1270" s="8"/>
      <c r="BT1270" s="8"/>
      <c r="BU1270" s="8"/>
      <c r="BV1270" s="8"/>
      <c r="BW1270" s="8"/>
      <c r="BX1270" s="8"/>
      <c r="BY1270" s="8"/>
      <c r="BZ1270" s="8"/>
      <c r="CA1270" s="8"/>
      <c r="CB1270" s="8"/>
      <c r="CC1270" s="8"/>
      <c r="CD1270" s="8"/>
      <c r="CE1270" s="8"/>
      <c r="CF1270" s="8"/>
      <c r="CG1270" s="8"/>
      <c r="CH1270" s="8"/>
      <c r="CI1270" s="8"/>
      <c r="CJ1270" s="8"/>
      <c r="CK1270" s="8"/>
      <c r="CL1270" s="8"/>
      <c r="CM1270" s="8"/>
      <c r="CN1270" s="8"/>
      <c r="CO1270" s="8"/>
      <c r="CP1270" s="8"/>
      <c r="CQ1270" s="8"/>
      <c r="CR1270" s="8"/>
      <c r="CS1270" s="8"/>
      <c r="CT1270" s="8"/>
      <c r="CU1270" s="8"/>
      <c r="CV1270" s="8"/>
      <c r="CW1270" s="8"/>
      <c r="CX1270" s="8"/>
      <c r="CY1270" s="8"/>
      <c r="CZ1270" s="8"/>
      <c r="DA1270" s="8"/>
      <c r="DB1270" s="8"/>
      <c r="DC1270" s="8"/>
      <c r="DD1270" s="8"/>
      <c r="DE1270" s="8"/>
      <c r="DF1270" s="8"/>
      <c r="DG1270" s="8"/>
      <c r="DH1270" s="8"/>
      <c r="DI1270" s="8"/>
      <c r="DJ1270" s="8"/>
      <c r="DK1270" s="8"/>
      <c r="DL1270" s="8"/>
      <c r="DM1270" s="8"/>
      <c r="DN1270" s="8"/>
      <c r="DO1270" s="8"/>
      <c r="DP1270" s="8"/>
      <c r="DQ1270" s="8"/>
      <c r="DR1270" s="8"/>
      <c r="DS1270" s="8"/>
      <c r="DT1270" s="8"/>
      <c r="DU1270" s="8"/>
      <c r="DV1270" s="8"/>
      <c r="DW1270" s="8"/>
      <c r="DX1270" s="8"/>
      <c r="DY1270" s="8"/>
      <c r="DZ1270" s="8"/>
      <c r="EA1270" s="8"/>
      <c r="EB1270" s="8"/>
      <c r="EC1270" s="8"/>
      <c r="ED1270" s="8"/>
      <c r="EE1270" s="8"/>
      <c r="EF1270" s="8"/>
      <c r="EG1270" s="8"/>
      <c r="EH1270" s="8"/>
      <c r="EI1270" s="8"/>
      <c r="EJ1270" s="8"/>
      <c r="EK1270" s="8"/>
      <c r="EL1270" s="8"/>
      <c r="EM1270" s="8"/>
      <c r="EN1270" s="8"/>
      <c r="EO1270" s="8"/>
      <c r="EP1270" s="8"/>
      <c r="EQ1270" s="8"/>
      <c r="ER1270" s="8"/>
      <c r="ES1270" s="8"/>
      <c r="ET1270" s="8"/>
      <c r="EU1270" s="8"/>
      <c r="EV1270" s="8"/>
      <c r="EW1270" s="8"/>
      <c r="EX1270" s="8"/>
      <c r="EY1270" s="8"/>
      <c r="EZ1270" s="8"/>
      <c r="FA1270" s="8"/>
      <c r="FB1270" s="8"/>
      <c r="FC1270" s="8"/>
      <c r="FD1270" s="8"/>
      <c r="FE1270" s="8"/>
      <c r="FF1270" s="8"/>
      <c r="FG1270" s="8"/>
      <c r="FH1270" s="8"/>
      <c r="FI1270" s="8"/>
      <c r="FJ1270" s="8"/>
      <c r="FK1270" s="8"/>
      <c r="FL1270" s="8"/>
      <c r="FM1270" s="8"/>
      <c r="FN1270" s="8"/>
      <c r="FO1270" s="8"/>
      <c r="FP1270" s="8"/>
      <c r="FQ1270" s="8"/>
      <c r="FR1270" s="8"/>
      <c r="FS1270" s="8"/>
      <c r="FT1270" s="8"/>
      <c r="FU1270" s="8"/>
      <c r="FV1270" s="8"/>
      <c r="FW1270" s="8"/>
      <c r="FX1270" s="8"/>
      <c r="FY1270" s="8"/>
      <c r="FZ1270" s="8"/>
      <c r="GA1270" s="8"/>
      <c r="GB1270" s="8"/>
      <c r="GC1270" s="8"/>
      <c r="GD1270" s="8"/>
      <c r="GE1270" s="8"/>
      <c r="GF1270" s="8"/>
      <c r="GG1270" s="8"/>
      <c r="GH1270" s="8"/>
      <c r="GI1270" s="8"/>
      <c r="GJ1270" s="8"/>
      <c r="GK1270" s="8"/>
      <c r="GL1270" s="8"/>
      <c r="GM1270" s="8"/>
      <c r="GN1270" s="8"/>
      <c r="GO1270" s="8"/>
      <c r="GP1270" s="8"/>
      <c r="GQ1270" s="8"/>
      <c r="GR1270" s="8"/>
      <c r="GS1270" s="8"/>
      <c r="GT1270" s="8"/>
      <c r="GU1270" s="8"/>
      <c r="GV1270" s="8"/>
      <c r="GW1270" s="8"/>
      <c r="GX1270" s="8"/>
      <c r="GY1270" s="8"/>
      <c r="GZ1270" s="8"/>
      <c r="HA1270" s="8"/>
      <c r="HB1270" s="8"/>
      <c r="HC1270" s="8"/>
      <c r="HD1270" s="8"/>
      <c r="HE1270" s="8"/>
      <c r="HF1270" s="8"/>
      <c r="HG1270" s="8"/>
      <c r="HH1270" s="8"/>
      <c r="HI1270" s="8"/>
      <c r="HJ1270" s="8"/>
      <c r="HK1270" s="8"/>
      <c r="HL1270" s="8"/>
      <c r="HM1270" s="8"/>
      <c r="HN1270" s="8"/>
      <c r="HO1270" s="8"/>
      <c r="HP1270" s="8"/>
      <c r="HQ1270" s="8"/>
      <c r="HR1270" s="8"/>
      <c r="HS1270" s="8"/>
      <c r="HT1270" s="8"/>
      <c r="HU1270" s="8"/>
      <c r="HV1270" s="8"/>
      <c r="HW1270" s="8"/>
      <c r="HX1270" s="8"/>
      <c r="HY1270" s="8"/>
      <c r="HZ1270" s="8"/>
      <c r="IA1270" s="8"/>
      <c r="IB1270" s="8"/>
      <c r="IC1270" s="8"/>
      <c r="ID1270" s="8"/>
      <c r="IE1270" s="8"/>
      <c r="IF1270" s="8"/>
    </row>
    <row r="1271" spans="1:240" ht="30" customHeight="1">
      <c r="A1271" s="5">
        <v>1269</v>
      </c>
      <c r="B1271" s="5"/>
      <c r="C1271" s="5"/>
      <c r="D1271" s="5" t="s">
        <v>68</v>
      </c>
      <c r="E1271" s="5">
        <v>3000</v>
      </c>
      <c r="F1271" s="5">
        <v>3600</v>
      </c>
      <c r="G1271" s="5">
        <v>2440</v>
      </c>
      <c r="H1271" s="5">
        <v>2967</v>
      </c>
      <c r="I1271" s="5" t="s">
        <v>13</v>
      </c>
      <c r="J1271" s="15">
        <f>4*200/4.4</f>
        <v>181.81818181818181</v>
      </c>
      <c r="K1271" s="17">
        <f t="shared" si="38"/>
        <v>4.1670000000000016</v>
      </c>
      <c r="L1271" s="15">
        <f>200*3782*4.1868/3600</f>
        <v>879.69320000000005</v>
      </c>
      <c r="M1271" s="5">
        <f t="shared" si="39"/>
        <v>3.8890000000000029</v>
      </c>
      <c r="N1271" s="5"/>
      <c r="O1271" s="5">
        <f>25100*1.6978*R1271</f>
        <v>85229.56</v>
      </c>
      <c r="P1271" s="5"/>
      <c r="Q1271" s="5"/>
      <c r="R1271" s="5">
        <v>2</v>
      </c>
      <c r="S1271" s="5">
        <v>1000</v>
      </c>
      <c r="T1271" s="5"/>
      <c r="U1271" s="5">
        <v>960</v>
      </c>
      <c r="V1271" s="15">
        <f>0.7457*5*R1271</f>
        <v>7.4570000000000007</v>
      </c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8"/>
      <c r="BS1271" s="8"/>
      <c r="BT1271" s="8"/>
      <c r="BU1271" s="8"/>
      <c r="BV1271" s="8"/>
      <c r="BW1271" s="8"/>
      <c r="BX1271" s="8"/>
      <c r="BY1271" s="8"/>
      <c r="BZ1271" s="8"/>
      <c r="CA1271" s="8"/>
      <c r="CB1271" s="8"/>
      <c r="CC1271" s="8"/>
      <c r="CD1271" s="8"/>
      <c r="CE1271" s="8"/>
      <c r="CF1271" s="8"/>
      <c r="CG1271" s="8"/>
      <c r="CH1271" s="8"/>
      <c r="CI1271" s="8"/>
      <c r="CJ1271" s="8"/>
      <c r="CK1271" s="8"/>
      <c r="CL1271" s="8"/>
      <c r="CM1271" s="8"/>
      <c r="CN1271" s="8"/>
      <c r="CO1271" s="8"/>
      <c r="CP1271" s="8"/>
      <c r="CQ1271" s="8"/>
      <c r="CR1271" s="8"/>
      <c r="CS1271" s="8"/>
      <c r="CT1271" s="8"/>
      <c r="CU1271" s="8"/>
      <c r="CV1271" s="8"/>
      <c r="CW1271" s="8"/>
      <c r="CX1271" s="8"/>
      <c r="CY1271" s="8"/>
      <c r="CZ1271" s="8"/>
      <c r="DA1271" s="8"/>
      <c r="DB1271" s="8"/>
      <c r="DC1271" s="8"/>
      <c r="DD1271" s="8"/>
      <c r="DE1271" s="8"/>
      <c r="DF1271" s="8"/>
      <c r="DG1271" s="8"/>
      <c r="DH1271" s="8"/>
      <c r="DI1271" s="8"/>
      <c r="DJ1271" s="8"/>
      <c r="DK1271" s="8"/>
      <c r="DL1271" s="8"/>
      <c r="DM1271" s="8"/>
      <c r="DN1271" s="8"/>
      <c r="DO1271" s="8"/>
      <c r="DP1271" s="8"/>
      <c r="DQ1271" s="8"/>
      <c r="DR1271" s="8"/>
      <c r="DS1271" s="8"/>
      <c r="DT1271" s="8"/>
      <c r="DU1271" s="8"/>
      <c r="DV1271" s="8"/>
      <c r="DW1271" s="8"/>
      <c r="DX1271" s="8"/>
      <c r="DY1271" s="8"/>
      <c r="DZ1271" s="8"/>
      <c r="EA1271" s="8"/>
      <c r="EB1271" s="8"/>
      <c r="EC1271" s="8"/>
      <c r="ED1271" s="8"/>
      <c r="EE1271" s="8"/>
      <c r="EF1271" s="8"/>
      <c r="EG1271" s="8"/>
      <c r="EH1271" s="8"/>
      <c r="EI1271" s="8"/>
      <c r="EJ1271" s="8"/>
      <c r="EK1271" s="8"/>
      <c r="EL1271" s="8"/>
      <c r="EM1271" s="8"/>
      <c r="EN1271" s="8"/>
      <c r="EO1271" s="8"/>
      <c r="EP1271" s="8"/>
      <c r="EQ1271" s="8"/>
      <c r="ER1271" s="8"/>
      <c r="ES1271" s="8"/>
      <c r="ET1271" s="8"/>
      <c r="EU1271" s="8"/>
      <c r="EV1271" s="8"/>
      <c r="EW1271" s="8"/>
      <c r="EX1271" s="8"/>
      <c r="EY1271" s="8"/>
      <c r="EZ1271" s="8"/>
      <c r="FA1271" s="8"/>
      <c r="FB1271" s="8"/>
      <c r="FC1271" s="8"/>
      <c r="FD1271" s="8"/>
      <c r="FE1271" s="8"/>
      <c r="FF1271" s="8"/>
      <c r="FG1271" s="8"/>
      <c r="FH1271" s="8"/>
      <c r="FI1271" s="8"/>
      <c r="FJ1271" s="8"/>
      <c r="FK1271" s="8"/>
      <c r="FL1271" s="8"/>
      <c r="FM1271" s="8"/>
      <c r="FN1271" s="8"/>
      <c r="FO1271" s="8"/>
      <c r="FP1271" s="8"/>
      <c r="FQ1271" s="8"/>
      <c r="FR1271" s="8"/>
      <c r="FS1271" s="8"/>
      <c r="FT1271" s="8"/>
      <c r="FU1271" s="8"/>
      <c r="FV1271" s="8"/>
      <c r="FW1271" s="8"/>
      <c r="FX1271" s="8"/>
      <c r="FY1271" s="8"/>
      <c r="FZ1271" s="8"/>
      <c r="GA1271" s="8"/>
      <c r="GB1271" s="8"/>
      <c r="GC1271" s="8"/>
      <c r="GD1271" s="8"/>
      <c r="GE1271" s="8"/>
      <c r="GF1271" s="8"/>
      <c r="GG1271" s="8"/>
      <c r="GH1271" s="8"/>
      <c r="GI1271" s="8"/>
      <c r="GJ1271" s="8"/>
      <c r="GK1271" s="8"/>
      <c r="GL1271" s="8"/>
      <c r="GM1271" s="8"/>
      <c r="GN1271" s="8"/>
      <c r="GO1271" s="8"/>
      <c r="GP1271" s="8"/>
      <c r="GQ1271" s="8"/>
      <c r="GR1271" s="8"/>
      <c r="GS1271" s="8"/>
      <c r="GT1271" s="8"/>
      <c r="GU1271" s="8"/>
      <c r="GV1271" s="8"/>
      <c r="GW1271" s="8"/>
      <c r="GX1271" s="8"/>
      <c r="GY1271" s="8"/>
      <c r="GZ1271" s="8"/>
      <c r="HA1271" s="8"/>
      <c r="HB1271" s="8"/>
      <c r="HC1271" s="8"/>
      <c r="HD1271" s="8"/>
      <c r="HE1271" s="8"/>
      <c r="HF1271" s="8"/>
      <c r="HG1271" s="8"/>
      <c r="HH1271" s="8"/>
      <c r="HI1271" s="8"/>
      <c r="HJ1271" s="8"/>
      <c r="HK1271" s="8"/>
      <c r="HL1271" s="8"/>
      <c r="HM1271" s="8"/>
      <c r="HN1271" s="8"/>
      <c r="HO1271" s="8"/>
      <c r="HP1271" s="8"/>
      <c r="HQ1271" s="8"/>
      <c r="HR1271" s="8"/>
      <c r="HS1271" s="8"/>
      <c r="HT1271" s="8"/>
      <c r="HU1271" s="8"/>
      <c r="HV1271" s="8"/>
      <c r="HW1271" s="8"/>
      <c r="HX1271" s="8"/>
      <c r="HY1271" s="8"/>
      <c r="HZ1271" s="8"/>
      <c r="IA1271" s="8"/>
      <c r="IB1271" s="8"/>
      <c r="IC1271" s="8"/>
      <c r="ID1271" s="8"/>
      <c r="IE1271" s="8"/>
      <c r="IF1271" s="8"/>
    </row>
    <row r="1272" spans="1:240" ht="30" customHeight="1">
      <c r="A1272" s="5">
        <v>1270</v>
      </c>
      <c r="B1272" s="5"/>
      <c r="C1272" s="5"/>
      <c r="D1272" s="5" t="s">
        <v>68</v>
      </c>
      <c r="E1272" s="5">
        <v>3600</v>
      </c>
      <c r="F1272" s="5">
        <v>3300</v>
      </c>
      <c r="G1272" s="5">
        <v>2670</v>
      </c>
      <c r="H1272" s="5">
        <v>3215</v>
      </c>
      <c r="I1272" s="5" t="s">
        <v>13</v>
      </c>
      <c r="J1272" s="15">
        <f>4*220/4.4</f>
        <v>199.99999999999997</v>
      </c>
      <c r="K1272" s="17">
        <f t="shared" si="38"/>
        <v>4.1670000000000016</v>
      </c>
      <c r="L1272" s="15">
        <f>220*3782*4.1868/3600</f>
        <v>967.66251999999986</v>
      </c>
      <c r="M1272" s="5">
        <f t="shared" si="39"/>
        <v>3.8890000000000029</v>
      </c>
      <c r="N1272" s="5"/>
      <c r="O1272" s="5">
        <f>27600*1.6978*R1272</f>
        <v>93718.56</v>
      </c>
      <c r="P1272" s="5"/>
      <c r="Q1272" s="5"/>
      <c r="R1272" s="5">
        <v>2</v>
      </c>
      <c r="S1272" s="5">
        <v>1200</v>
      </c>
      <c r="T1272" s="5"/>
      <c r="U1272" s="5">
        <v>960</v>
      </c>
      <c r="V1272" s="15">
        <f>0.7457*7.5*R1272</f>
        <v>11.185500000000001</v>
      </c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8"/>
      <c r="BS1272" s="8"/>
      <c r="BT1272" s="8"/>
      <c r="BU1272" s="8"/>
      <c r="BV1272" s="8"/>
      <c r="BW1272" s="8"/>
      <c r="BX1272" s="8"/>
      <c r="BY1272" s="8"/>
      <c r="BZ1272" s="8"/>
      <c r="CA1272" s="8"/>
      <c r="CB1272" s="8"/>
      <c r="CC1272" s="8"/>
      <c r="CD1272" s="8"/>
      <c r="CE1272" s="8"/>
      <c r="CF1272" s="8"/>
      <c r="CG1272" s="8"/>
      <c r="CH1272" s="8"/>
      <c r="CI1272" s="8"/>
      <c r="CJ1272" s="8"/>
      <c r="CK1272" s="8"/>
      <c r="CL1272" s="8"/>
      <c r="CM1272" s="8"/>
      <c r="CN1272" s="8"/>
      <c r="CO1272" s="8"/>
      <c r="CP1272" s="8"/>
      <c r="CQ1272" s="8"/>
      <c r="CR1272" s="8"/>
      <c r="CS1272" s="8"/>
      <c r="CT1272" s="8"/>
      <c r="CU1272" s="8"/>
      <c r="CV1272" s="8"/>
      <c r="CW1272" s="8"/>
      <c r="CX1272" s="8"/>
      <c r="CY1272" s="8"/>
      <c r="CZ1272" s="8"/>
      <c r="DA1272" s="8"/>
      <c r="DB1272" s="8"/>
      <c r="DC1272" s="8"/>
      <c r="DD1272" s="8"/>
      <c r="DE1272" s="8"/>
      <c r="DF1272" s="8"/>
      <c r="DG1272" s="8"/>
      <c r="DH1272" s="8"/>
      <c r="DI1272" s="8"/>
      <c r="DJ1272" s="8"/>
      <c r="DK1272" s="8"/>
      <c r="DL1272" s="8"/>
      <c r="DM1272" s="8"/>
      <c r="DN1272" s="8"/>
      <c r="DO1272" s="8"/>
      <c r="DP1272" s="8"/>
      <c r="DQ1272" s="8"/>
      <c r="DR1272" s="8"/>
      <c r="DS1272" s="8"/>
      <c r="DT1272" s="8"/>
      <c r="DU1272" s="8"/>
      <c r="DV1272" s="8"/>
      <c r="DW1272" s="8"/>
      <c r="DX1272" s="8"/>
      <c r="DY1272" s="8"/>
      <c r="DZ1272" s="8"/>
      <c r="EA1272" s="8"/>
      <c r="EB1272" s="8"/>
      <c r="EC1272" s="8"/>
      <c r="ED1272" s="8"/>
      <c r="EE1272" s="8"/>
      <c r="EF1272" s="8"/>
      <c r="EG1272" s="8"/>
      <c r="EH1272" s="8"/>
      <c r="EI1272" s="8"/>
      <c r="EJ1272" s="8"/>
      <c r="EK1272" s="8"/>
      <c r="EL1272" s="8"/>
      <c r="EM1272" s="8"/>
      <c r="EN1272" s="8"/>
      <c r="EO1272" s="8"/>
      <c r="EP1272" s="8"/>
      <c r="EQ1272" s="8"/>
      <c r="ER1272" s="8"/>
      <c r="ES1272" s="8"/>
      <c r="ET1272" s="8"/>
      <c r="EU1272" s="8"/>
      <c r="EV1272" s="8"/>
      <c r="EW1272" s="8"/>
      <c r="EX1272" s="8"/>
      <c r="EY1272" s="8"/>
      <c r="EZ1272" s="8"/>
      <c r="FA1272" s="8"/>
      <c r="FB1272" s="8"/>
      <c r="FC1272" s="8"/>
      <c r="FD1272" s="8"/>
      <c r="FE1272" s="8"/>
      <c r="FF1272" s="8"/>
      <c r="FG1272" s="8"/>
      <c r="FH1272" s="8"/>
      <c r="FI1272" s="8"/>
      <c r="FJ1272" s="8"/>
      <c r="FK1272" s="8"/>
      <c r="FL1272" s="8"/>
      <c r="FM1272" s="8"/>
      <c r="FN1272" s="8"/>
      <c r="FO1272" s="8"/>
      <c r="FP1272" s="8"/>
      <c r="FQ1272" s="8"/>
      <c r="FR1272" s="8"/>
      <c r="FS1272" s="8"/>
      <c r="FT1272" s="8"/>
      <c r="FU1272" s="8"/>
      <c r="FV1272" s="8"/>
      <c r="FW1272" s="8"/>
      <c r="FX1272" s="8"/>
      <c r="FY1272" s="8"/>
      <c r="FZ1272" s="8"/>
      <c r="GA1272" s="8"/>
      <c r="GB1272" s="8"/>
      <c r="GC1272" s="8"/>
      <c r="GD1272" s="8"/>
      <c r="GE1272" s="8"/>
      <c r="GF1272" s="8"/>
      <c r="GG1272" s="8"/>
      <c r="GH1272" s="8"/>
      <c r="GI1272" s="8"/>
      <c r="GJ1272" s="8"/>
      <c r="GK1272" s="8"/>
      <c r="GL1272" s="8"/>
      <c r="GM1272" s="8"/>
      <c r="GN1272" s="8"/>
      <c r="GO1272" s="8"/>
      <c r="GP1272" s="8"/>
      <c r="GQ1272" s="8"/>
      <c r="GR1272" s="8"/>
      <c r="GS1272" s="8"/>
      <c r="GT1272" s="8"/>
      <c r="GU1272" s="8"/>
      <c r="GV1272" s="8"/>
      <c r="GW1272" s="8"/>
      <c r="GX1272" s="8"/>
      <c r="GY1272" s="8"/>
      <c r="GZ1272" s="8"/>
      <c r="HA1272" s="8"/>
      <c r="HB1272" s="8"/>
      <c r="HC1272" s="8"/>
      <c r="HD1272" s="8"/>
      <c r="HE1272" s="8"/>
      <c r="HF1272" s="8"/>
      <c r="HG1272" s="8"/>
      <c r="HH1272" s="8"/>
      <c r="HI1272" s="8"/>
      <c r="HJ1272" s="8"/>
      <c r="HK1272" s="8"/>
      <c r="HL1272" s="8"/>
      <c r="HM1272" s="8"/>
      <c r="HN1272" s="8"/>
      <c r="HO1272" s="8"/>
      <c r="HP1272" s="8"/>
      <c r="HQ1272" s="8"/>
      <c r="HR1272" s="8"/>
      <c r="HS1272" s="8"/>
      <c r="HT1272" s="8"/>
      <c r="HU1272" s="8"/>
      <c r="HV1272" s="8"/>
      <c r="HW1272" s="8"/>
      <c r="HX1272" s="8"/>
      <c r="HY1272" s="8"/>
      <c r="HZ1272" s="8"/>
      <c r="IA1272" s="8"/>
      <c r="IB1272" s="8"/>
      <c r="IC1272" s="8"/>
      <c r="ID1272" s="8"/>
      <c r="IE1272" s="8"/>
      <c r="IF1272" s="8"/>
    </row>
    <row r="1273" spans="1:240" ht="30" customHeight="1">
      <c r="A1273" s="5">
        <v>1271</v>
      </c>
      <c r="B1273" s="5"/>
      <c r="C1273" s="5"/>
      <c r="D1273" s="5" t="s">
        <v>68</v>
      </c>
      <c r="E1273" s="5">
        <v>3600</v>
      </c>
      <c r="F1273" s="5">
        <v>3600</v>
      </c>
      <c r="G1273" s="5">
        <v>2670</v>
      </c>
      <c r="H1273" s="5">
        <v>3500</v>
      </c>
      <c r="I1273" s="5" t="s">
        <v>13</v>
      </c>
      <c r="J1273" s="15">
        <f>4*240/4.4</f>
        <v>218.18181818181816</v>
      </c>
      <c r="K1273" s="17">
        <f t="shared" si="38"/>
        <v>4.1670000000000016</v>
      </c>
      <c r="L1273" s="15">
        <f>240*3782*4.1868/3600</f>
        <v>1055.63184</v>
      </c>
      <c r="M1273" s="5">
        <f t="shared" si="39"/>
        <v>3.8890000000000029</v>
      </c>
      <c r="N1273" s="5"/>
      <c r="O1273" s="5">
        <f>30150*1.6978*R1273</f>
        <v>102377.34</v>
      </c>
      <c r="P1273" s="5"/>
      <c r="Q1273" s="5"/>
      <c r="R1273" s="5">
        <v>2</v>
      </c>
      <c r="S1273" s="5">
        <v>1200</v>
      </c>
      <c r="T1273" s="5"/>
      <c r="U1273" s="5">
        <v>960</v>
      </c>
      <c r="V1273" s="15">
        <f t="shared" ref="V1273:V1309" si="40">0.7457*7.5*R1273</f>
        <v>11.185500000000001</v>
      </c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8"/>
      <c r="AP1273" s="8"/>
      <c r="AQ1273" s="8"/>
      <c r="AR1273" s="8"/>
      <c r="AS1273" s="8"/>
      <c r="AT1273" s="8"/>
      <c r="AU1273" s="8"/>
      <c r="AV1273" s="8"/>
      <c r="AW1273" s="8"/>
      <c r="AX1273" s="8"/>
      <c r="AY1273" s="8"/>
      <c r="AZ1273" s="8"/>
      <c r="BA1273" s="8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8"/>
      <c r="BS1273" s="8"/>
      <c r="BT1273" s="8"/>
      <c r="BU1273" s="8"/>
      <c r="BV1273" s="8"/>
      <c r="BW1273" s="8"/>
      <c r="BX1273" s="8"/>
      <c r="BY1273" s="8"/>
      <c r="BZ1273" s="8"/>
      <c r="CA1273" s="8"/>
      <c r="CB1273" s="8"/>
      <c r="CC1273" s="8"/>
      <c r="CD1273" s="8"/>
      <c r="CE1273" s="8"/>
      <c r="CF1273" s="8"/>
      <c r="CG1273" s="8"/>
      <c r="CH1273" s="8"/>
      <c r="CI1273" s="8"/>
      <c r="CJ1273" s="8"/>
      <c r="CK1273" s="8"/>
      <c r="CL1273" s="8"/>
      <c r="CM1273" s="8"/>
      <c r="CN1273" s="8"/>
      <c r="CO1273" s="8"/>
      <c r="CP1273" s="8"/>
      <c r="CQ1273" s="8"/>
      <c r="CR1273" s="8"/>
      <c r="CS1273" s="8"/>
      <c r="CT1273" s="8"/>
      <c r="CU1273" s="8"/>
      <c r="CV1273" s="8"/>
      <c r="CW1273" s="8"/>
      <c r="CX1273" s="8"/>
      <c r="CY1273" s="8"/>
      <c r="CZ1273" s="8"/>
      <c r="DA1273" s="8"/>
      <c r="DB1273" s="8"/>
      <c r="DC1273" s="8"/>
      <c r="DD1273" s="8"/>
      <c r="DE1273" s="8"/>
      <c r="DF1273" s="8"/>
      <c r="DG1273" s="8"/>
      <c r="DH1273" s="8"/>
      <c r="DI1273" s="8"/>
      <c r="DJ1273" s="8"/>
      <c r="DK1273" s="8"/>
      <c r="DL1273" s="8"/>
      <c r="DM1273" s="8"/>
      <c r="DN1273" s="8"/>
      <c r="DO1273" s="8"/>
      <c r="DP1273" s="8"/>
      <c r="DQ1273" s="8"/>
      <c r="DR1273" s="8"/>
      <c r="DS1273" s="8"/>
      <c r="DT1273" s="8"/>
      <c r="DU1273" s="8"/>
      <c r="DV1273" s="8"/>
      <c r="DW1273" s="8"/>
      <c r="DX1273" s="8"/>
      <c r="DY1273" s="8"/>
      <c r="DZ1273" s="8"/>
      <c r="EA1273" s="8"/>
      <c r="EB1273" s="8"/>
      <c r="EC1273" s="8"/>
      <c r="ED1273" s="8"/>
      <c r="EE1273" s="8"/>
      <c r="EF1273" s="8"/>
      <c r="EG1273" s="8"/>
      <c r="EH1273" s="8"/>
      <c r="EI1273" s="8"/>
      <c r="EJ1273" s="8"/>
      <c r="EK1273" s="8"/>
      <c r="EL1273" s="8"/>
      <c r="EM1273" s="8"/>
      <c r="EN1273" s="8"/>
      <c r="EO1273" s="8"/>
      <c r="EP1273" s="8"/>
      <c r="EQ1273" s="8"/>
      <c r="ER1273" s="8"/>
      <c r="ES1273" s="8"/>
      <c r="ET1273" s="8"/>
      <c r="EU1273" s="8"/>
      <c r="EV1273" s="8"/>
      <c r="EW1273" s="8"/>
      <c r="EX1273" s="8"/>
      <c r="EY1273" s="8"/>
      <c r="EZ1273" s="8"/>
      <c r="FA1273" s="8"/>
      <c r="FB1273" s="8"/>
      <c r="FC1273" s="8"/>
      <c r="FD1273" s="8"/>
      <c r="FE1273" s="8"/>
      <c r="FF1273" s="8"/>
      <c r="FG1273" s="8"/>
      <c r="FH1273" s="8"/>
      <c r="FI1273" s="8"/>
      <c r="FJ1273" s="8"/>
      <c r="FK1273" s="8"/>
      <c r="FL1273" s="8"/>
      <c r="FM1273" s="8"/>
      <c r="FN1273" s="8"/>
      <c r="FO1273" s="8"/>
      <c r="FP1273" s="8"/>
      <c r="FQ1273" s="8"/>
      <c r="FR1273" s="8"/>
      <c r="FS1273" s="8"/>
      <c r="FT1273" s="8"/>
      <c r="FU1273" s="8"/>
      <c r="FV1273" s="8"/>
      <c r="FW1273" s="8"/>
      <c r="FX1273" s="8"/>
      <c r="FY1273" s="8"/>
      <c r="FZ1273" s="8"/>
      <c r="GA1273" s="8"/>
      <c r="GB1273" s="8"/>
      <c r="GC1273" s="8"/>
      <c r="GD1273" s="8"/>
      <c r="GE1273" s="8"/>
      <c r="GF1273" s="8"/>
      <c r="GG1273" s="8"/>
      <c r="GH1273" s="8"/>
      <c r="GI1273" s="8"/>
      <c r="GJ1273" s="8"/>
      <c r="GK1273" s="8"/>
      <c r="GL1273" s="8"/>
      <c r="GM1273" s="8"/>
      <c r="GN1273" s="8"/>
      <c r="GO1273" s="8"/>
      <c r="GP1273" s="8"/>
      <c r="GQ1273" s="8"/>
      <c r="GR1273" s="8"/>
      <c r="GS1273" s="8"/>
      <c r="GT1273" s="8"/>
      <c r="GU1273" s="8"/>
      <c r="GV1273" s="8"/>
      <c r="GW1273" s="8"/>
      <c r="GX1273" s="8"/>
      <c r="GY1273" s="8"/>
      <c r="GZ1273" s="8"/>
      <c r="HA1273" s="8"/>
      <c r="HB1273" s="8"/>
      <c r="HC1273" s="8"/>
      <c r="HD1273" s="8"/>
      <c r="HE1273" s="8"/>
      <c r="HF1273" s="8"/>
      <c r="HG1273" s="8"/>
      <c r="HH1273" s="8"/>
      <c r="HI1273" s="8"/>
      <c r="HJ1273" s="8"/>
      <c r="HK1273" s="8"/>
      <c r="HL1273" s="8"/>
      <c r="HM1273" s="8"/>
      <c r="HN1273" s="8"/>
      <c r="HO1273" s="8"/>
      <c r="HP1273" s="8"/>
      <c r="HQ1273" s="8"/>
      <c r="HR1273" s="8"/>
      <c r="HS1273" s="8"/>
      <c r="HT1273" s="8"/>
      <c r="HU1273" s="8"/>
      <c r="HV1273" s="8"/>
      <c r="HW1273" s="8"/>
      <c r="HX1273" s="8"/>
      <c r="HY1273" s="8"/>
      <c r="HZ1273" s="8"/>
      <c r="IA1273" s="8"/>
      <c r="IB1273" s="8"/>
      <c r="IC1273" s="8"/>
      <c r="ID1273" s="8"/>
      <c r="IE1273" s="8"/>
      <c r="IF1273" s="8"/>
    </row>
    <row r="1274" spans="1:240" ht="30" customHeight="1">
      <c r="A1274" s="5">
        <v>1272</v>
      </c>
      <c r="B1274" s="5"/>
      <c r="C1274" s="5"/>
      <c r="D1274" s="5" t="s">
        <v>68</v>
      </c>
      <c r="E1274" s="5">
        <v>3600</v>
      </c>
      <c r="F1274" s="5">
        <v>3750</v>
      </c>
      <c r="G1274" s="5">
        <v>2670</v>
      </c>
      <c r="H1274" s="5">
        <v>3613</v>
      </c>
      <c r="I1274" s="5" t="s">
        <v>13</v>
      </c>
      <c r="J1274" s="15">
        <f>4*250/4.4</f>
        <v>227.27272727272725</v>
      </c>
      <c r="K1274" s="17">
        <f t="shared" si="38"/>
        <v>4.1670000000000016</v>
      </c>
      <c r="L1274" s="15">
        <f>250*3782*4.1868/3600</f>
        <v>1099.6165000000001</v>
      </c>
      <c r="M1274" s="5">
        <f t="shared" si="39"/>
        <v>3.8890000000000029</v>
      </c>
      <c r="N1274" s="5"/>
      <c r="O1274" s="5">
        <f>31400*1.6978*R1274</f>
        <v>106621.84</v>
      </c>
      <c r="P1274" s="5"/>
      <c r="Q1274" s="5"/>
      <c r="R1274" s="5">
        <v>2</v>
      </c>
      <c r="S1274" s="5">
        <v>1200</v>
      </c>
      <c r="T1274" s="5"/>
      <c r="U1274" s="5">
        <v>960</v>
      </c>
      <c r="V1274" s="15">
        <f t="shared" si="40"/>
        <v>11.185500000000001</v>
      </c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/>
      <c r="BP1274" s="8"/>
      <c r="BQ1274" s="8"/>
      <c r="BR1274" s="8"/>
      <c r="BS1274" s="8"/>
      <c r="BT1274" s="8"/>
      <c r="BU1274" s="8"/>
      <c r="BV1274" s="8"/>
      <c r="BW1274" s="8"/>
      <c r="BX1274" s="8"/>
      <c r="BY1274" s="8"/>
      <c r="BZ1274" s="8"/>
      <c r="CA1274" s="8"/>
      <c r="CB1274" s="8"/>
      <c r="CC1274" s="8"/>
      <c r="CD1274" s="8"/>
      <c r="CE1274" s="8"/>
      <c r="CF1274" s="8"/>
      <c r="CG1274" s="8"/>
      <c r="CH1274" s="8"/>
      <c r="CI1274" s="8"/>
      <c r="CJ1274" s="8"/>
      <c r="CK1274" s="8"/>
      <c r="CL1274" s="8"/>
      <c r="CM1274" s="8"/>
      <c r="CN1274" s="8"/>
      <c r="CO1274" s="8"/>
      <c r="CP1274" s="8"/>
      <c r="CQ1274" s="8"/>
      <c r="CR1274" s="8"/>
      <c r="CS1274" s="8"/>
      <c r="CT1274" s="8"/>
      <c r="CU1274" s="8"/>
      <c r="CV1274" s="8"/>
      <c r="CW1274" s="8"/>
      <c r="CX1274" s="8"/>
      <c r="CY1274" s="8"/>
      <c r="CZ1274" s="8"/>
      <c r="DA1274" s="8"/>
      <c r="DB1274" s="8"/>
      <c r="DC1274" s="8"/>
      <c r="DD1274" s="8"/>
      <c r="DE1274" s="8"/>
      <c r="DF1274" s="8"/>
      <c r="DG1274" s="8"/>
      <c r="DH1274" s="8"/>
      <c r="DI1274" s="8"/>
      <c r="DJ1274" s="8"/>
      <c r="DK1274" s="8"/>
      <c r="DL1274" s="8"/>
      <c r="DM1274" s="8"/>
      <c r="DN1274" s="8"/>
      <c r="DO1274" s="8"/>
      <c r="DP1274" s="8"/>
      <c r="DQ1274" s="8"/>
      <c r="DR1274" s="8"/>
      <c r="DS1274" s="8"/>
      <c r="DT1274" s="8"/>
      <c r="DU1274" s="8"/>
      <c r="DV1274" s="8"/>
      <c r="DW1274" s="8"/>
      <c r="DX1274" s="8"/>
      <c r="DY1274" s="8"/>
      <c r="DZ1274" s="8"/>
      <c r="EA1274" s="8"/>
      <c r="EB1274" s="8"/>
      <c r="EC1274" s="8"/>
      <c r="ED1274" s="8"/>
      <c r="EE1274" s="8"/>
      <c r="EF1274" s="8"/>
      <c r="EG1274" s="8"/>
      <c r="EH1274" s="8"/>
      <c r="EI1274" s="8"/>
      <c r="EJ1274" s="8"/>
      <c r="EK1274" s="8"/>
      <c r="EL1274" s="8"/>
      <c r="EM1274" s="8"/>
      <c r="EN1274" s="8"/>
      <c r="EO1274" s="8"/>
      <c r="EP1274" s="8"/>
      <c r="EQ1274" s="8"/>
      <c r="ER1274" s="8"/>
      <c r="ES1274" s="8"/>
      <c r="ET1274" s="8"/>
      <c r="EU1274" s="8"/>
      <c r="EV1274" s="8"/>
      <c r="EW1274" s="8"/>
      <c r="EX1274" s="8"/>
      <c r="EY1274" s="8"/>
      <c r="EZ1274" s="8"/>
      <c r="FA1274" s="8"/>
      <c r="FB1274" s="8"/>
      <c r="FC1274" s="8"/>
      <c r="FD1274" s="8"/>
      <c r="FE1274" s="8"/>
      <c r="FF1274" s="8"/>
      <c r="FG1274" s="8"/>
      <c r="FH1274" s="8"/>
      <c r="FI1274" s="8"/>
      <c r="FJ1274" s="8"/>
      <c r="FK1274" s="8"/>
      <c r="FL1274" s="8"/>
      <c r="FM1274" s="8"/>
      <c r="FN1274" s="8"/>
      <c r="FO1274" s="8"/>
      <c r="FP1274" s="8"/>
      <c r="FQ1274" s="8"/>
      <c r="FR1274" s="8"/>
      <c r="FS1274" s="8"/>
      <c r="FT1274" s="8"/>
      <c r="FU1274" s="8"/>
      <c r="FV1274" s="8"/>
      <c r="FW1274" s="8"/>
      <c r="FX1274" s="8"/>
      <c r="FY1274" s="8"/>
      <c r="FZ1274" s="8"/>
      <c r="GA1274" s="8"/>
      <c r="GB1274" s="8"/>
      <c r="GC1274" s="8"/>
      <c r="GD1274" s="8"/>
      <c r="GE1274" s="8"/>
      <c r="GF1274" s="8"/>
      <c r="GG1274" s="8"/>
      <c r="GH1274" s="8"/>
      <c r="GI1274" s="8"/>
      <c r="GJ1274" s="8"/>
      <c r="GK1274" s="8"/>
      <c r="GL1274" s="8"/>
      <c r="GM1274" s="8"/>
      <c r="GN1274" s="8"/>
      <c r="GO1274" s="8"/>
      <c r="GP1274" s="8"/>
      <c r="GQ1274" s="8"/>
      <c r="GR1274" s="8"/>
      <c r="GS1274" s="8"/>
      <c r="GT1274" s="8"/>
      <c r="GU1274" s="8"/>
      <c r="GV1274" s="8"/>
      <c r="GW1274" s="8"/>
      <c r="GX1274" s="8"/>
      <c r="GY1274" s="8"/>
      <c r="GZ1274" s="8"/>
      <c r="HA1274" s="8"/>
      <c r="HB1274" s="8"/>
      <c r="HC1274" s="8"/>
      <c r="HD1274" s="8"/>
      <c r="HE1274" s="8"/>
      <c r="HF1274" s="8"/>
      <c r="HG1274" s="8"/>
      <c r="HH1274" s="8"/>
      <c r="HI1274" s="8"/>
      <c r="HJ1274" s="8"/>
      <c r="HK1274" s="8"/>
      <c r="HL1274" s="8"/>
      <c r="HM1274" s="8"/>
      <c r="HN1274" s="8"/>
      <c r="HO1274" s="8"/>
      <c r="HP1274" s="8"/>
      <c r="HQ1274" s="8"/>
      <c r="HR1274" s="8"/>
      <c r="HS1274" s="8"/>
      <c r="HT1274" s="8"/>
      <c r="HU1274" s="8"/>
      <c r="HV1274" s="8"/>
      <c r="HW1274" s="8"/>
      <c r="HX1274" s="8"/>
      <c r="HY1274" s="8"/>
      <c r="HZ1274" s="8"/>
      <c r="IA1274" s="8"/>
      <c r="IB1274" s="8"/>
      <c r="IC1274" s="8"/>
      <c r="ID1274" s="8"/>
      <c r="IE1274" s="8"/>
      <c r="IF1274" s="8"/>
    </row>
    <row r="1275" spans="1:240" ht="30" customHeight="1">
      <c r="A1275" s="5">
        <v>1273</v>
      </c>
      <c r="B1275" s="5"/>
      <c r="C1275" s="5"/>
      <c r="D1275" s="5" t="s">
        <v>68</v>
      </c>
      <c r="E1275" s="5">
        <v>3600</v>
      </c>
      <c r="F1275" s="5">
        <v>4200</v>
      </c>
      <c r="G1275" s="5">
        <v>2670</v>
      </c>
      <c r="H1275" s="5">
        <v>3732</v>
      </c>
      <c r="I1275" s="5" t="s">
        <v>13</v>
      </c>
      <c r="J1275" s="15">
        <f>4*280/4.4</f>
        <v>254.54545454545453</v>
      </c>
      <c r="K1275" s="17">
        <f t="shared" si="38"/>
        <v>4.1670000000000016</v>
      </c>
      <c r="L1275" s="15">
        <f>280*3782*4.1868/3600</f>
        <v>1231.5704800000001</v>
      </c>
      <c r="M1275" s="5">
        <f t="shared" si="39"/>
        <v>3.8890000000000029</v>
      </c>
      <c r="N1275" s="5"/>
      <c r="O1275" s="5">
        <f>35150*1.6978*R1275</f>
        <v>119355.34</v>
      </c>
      <c r="P1275" s="5"/>
      <c r="Q1275" s="5"/>
      <c r="R1275" s="5">
        <v>2</v>
      </c>
      <c r="S1275" s="5">
        <v>1200</v>
      </c>
      <c r="T1275" s="5"/>
      <c r="U1275" s="5">
        <v>960</v>
      </c>
      <c r="V1275" s="15">
        <f t="shared" si="40"/>
        <v>11.185500000000001</v>
      </c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8"/>
      <c r="AP1275" s="8"/>
      <c r="AQ1275" s="8"/>
      <c r="AR1275" s="8"/>
      <c r="AS1275" s="8"/>
      <c r="AT1275" s="8"/>
      <c r="AU1275" s="8"/>
      <c r="AV1275" s="8"/>
      <c r="AW1275" s="8"/>
      <c r="AX1275" s="8"/>
      <c r="AY1275" s="8"/>
      <c r="AZ1275" s="8"/>
      <c r="BA1275" s="8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8"/>
      <c r="BS1275" s="8"/>
      <c r="BT1275" s="8"/>
      <c r="BU1275" s="8"/>
      <c r="BV1275" s="8"/>
      <c r="BW1275" s="8"/>
      <c r="BX1275" s="8"/>
      <c r="BY1275" s="8"/>
      <c r="BZ1275" s="8"/>
      <c r="CA1275" s="8"/>
      <c r="CB1275" s="8"/>
      <c r="CC1275" s="8"/>
      <c r="CD1275" s="8"/>
      <c r="CE1275" s="8"/>
      <c r="CF1275" s="8"/>
      <c r="CG1275" s="8"/>
      <c r="CH1275" s="8"/>
      <c r="CI1275" s="8"/>
      <c r="CJ1275" s="8"/>
      <c r="CK1275" s="8"/>
      <c r="CL1275" s="8"/>
      <c r="CM1275" s="8"/>
      <c r="CN1275" s="8"/>
      <c r="CO1275" s="8"/>
      <c r="CP1275" s="8"/>
      <c r="CQ1275" s="8"/>
      <c r="CR1275" s="8"/>
      <c r="CS1275" s="8"/>
      <c r="CT1275" s="8"/>
      <c r="CU1275" s="8"/>
      <c r="CV1275" s="8"/>
      <c r="CW1275" s="8"/>
      <c r="CX1275" s="8"/>
      <c r="CY1275" s="8"/>
      <c r="CZ1275" s="8"/>
      <c r="DA1275" s="8"/>
      <c r="DB1275" s="8"/>
      <c r="DC1275" s="8"/>
      <c r="DD1275" s="8"/>
      <c r="DE1275" s="8"/>
      <c r="DF1275" s="8"/>
      <c r="DG1275" s="8"/>
      <c r="DH1275" s="8"/>
      <c r="DI1275" s="8"/>
      <c r="DJ1275" s="8"/>
      <c r="DK1275" s="8"/>
      <c r="DL1275" s="8"/>
      <c r="DM1275" s="8"/>
      <c r="DN1275" s="8"/>
      <c r="DO1275" s="8"/>
      <c r="DP1275" s="8"/>
      <c r="DQ1275" s="8"/>
      <c r="DR1275" s="8"/>
      <c r="DS1275" s="8"/>
      <c r="DT1275" s="8"/>
      <c r="DU1275" s="8"/>
      <c r="DV1275" s="8"/>
      <c r="DW1275" s="8"/>
      <c r="DX1275" s="8"/>
      <c r="DY1275" s="8"/>
      <c r="DZ1275" s="8"/>
      <c r="EA1275" s="8"/>
      <c r="EB1275" s="8"/>
      <c r="EC1275" s="8"/>
      <c r="ED1275" s="8"/>
      <c r="EE1275" s="8"/>
      <c r="EF1275" s="8"/>
      <c r="EG1275" s="8"/>
      <c r="EH1275" s="8"/>
      <c r="EI1275" s="8"/>
      <c r="EJ1275" s="8"/>
      <c r="EK1275" s="8"/>
      <c r="EL1275" s="8"/>
      <c r="EM1275" s="8"/>
      <c r="EN1275" s="8"/>
      <c r="EO1275" s="8"/>
      <c r="EP1275" s="8"/>
      <c r="EQ1275" s="8"/>
      <c r="ER1275" s="8"/>
      <c r="ES1275" s="8"/>
      <c r="ET1275" s="8"/>
      <c r="EU1275" s="8"/>
      <c r="EV1275" s="8"/>
      <c r="EW1275" s="8"/>
      <c r="EX1275" s="8"/>
      <c r="EY1275" s="8"/>
      <c r="EZ1275" s="8"/>
      <c r="FA1275" s="8"/>
      <c r="FB1275" s="8"/>
      <c r="FC1275" s="8"/>
      <c r="FD1275" s="8"/>
      <c r="FE1275" s="8"/>
      <c r="FF1275" s="8"/>
      <c r="FG1275" s="8"/>
      <c r="FH1275" s="8"/>
      <c r="FI1275" s="8"/>
      <c r="FJ1275" s="8"/>
      <c r="FK1275" s="8"/>
      <c r="FL1275" s="8"/>
      <c r="FM1275" s="8"/>
      <c r="FN1275" s="8"/>
      <c r="FO1275" s="8"/>
      <c r="FP1275" s="8"/>
      <c r="FQ1275" s="8"/>
      <c r="FR1275" s="8"/>
      <c r="FS1275" s="8"/>
      <c r="FT1275" s="8"/>
      <c r="FU1275" s="8"/>
      <c r="FV1275" s="8"/>
      <c r="FW1275" s="8"/>
      <c r="FX1275" s="8"/>
      <c r="FY1275" s="8"/>
      <c r="FZ1275" s="8"/>
      <c r="GA1275" s="8"/>
      <c r="GB1275" s="8"/>
      <c r="GC1275" s="8"/>
      <c r="GD1275" s="8"/>
      <c r="GE1275" s="8"/>
      <c r="GF1275" s="8"/>
      <c r="GG1275" s="8"/>
      <c r="GH1275" s="8"/>
      <c r="GI1275" s="8"/>
      <c r="GJ1275" s="8"/>
      <c r="GK1275" s="8"/>
      <c r="GL1275" s="8"/>
      <c r="GM1275" s="8"/>
      <c r="GN1275" s="8"/>
      <c r="GO1275" s="8"/>
      <c r="GP1275" s="8"/>
      <c r="GQ1275" s="8"/>
      <c r="GR1275" s="8"/>
      <c r="GS1275" s="8"/>
      <c r="GT1275" s="8"/>
      <c r="GU1275" s="8"/>
      <c r="GV1275" s="8"/>
      <c r="GW1275" s="8"/>
      <c r="GX1275" s="8"/>
      <c r="GY1275" s="8"/>
      <c r="GZ1275" s="8"/>
      <c r="HA1275" s="8"/>
      <c r="HB1275" s="8"/>
      <c r="HC1275" s="8"/>
      <c r="HD1275" s="8"/>
      <c r="HE1275" s="8"/>
      <c r="HF1275" s="8"/>
      <c r="HG1275" s="8"/>
      <c r="HH1275" s="8"/>
      <c r="HI1275" s="8"/>
      <c r="HJ1275" s="8"/>
      <c r="HK1275" s="8"/>
      <c r="HL1275" s="8"/>
      <c r="HM1275" s="8"/>
      <c r="HN1275" s="8"/>
      <c r="HO1275" s="8"/>
      <c r="HP1275" s="8"/>
      <c r="HQ1275" s="8"/>
      <c r="HR1275" s="8"/>
      <c r="HS1275" s="8"/>
      <c r="HT1275" s="8"/>
      <c r="HU1275" s="8"/>
      <c r="HV1275" s="8"/>
      <c r="HW1275" s="8"/>
      <c r="HX1275" s="8"/>
      <c r="HY1275" s="8"/>
      <c r="HZ1275" s="8"/>
      <c r="IA1275" s="8"/>
      <c r="IB1275" s="8"/>
      <c r="IC1275" s="8"/>
      <c r="ID1275" s="8"/>
      <c r="IE1275" s="8"/>
      <c r="IF1275" s="8"/>
    </row>
    <row r="1276" spans="1:240" ht="30" customHeight="1">
      <c r="A1276" s="5">
        <v>1274</v>
      </c>
      <c r="B1276" s="5"/>
      <c r="C1276" s="5"/>
      <c r="D1276" s="5" t="s">
        <v>68</v>
      </c>
      <c r="E1276" s="5">
        <v>3600</v>
      </c>
      <c r="F1276" s="5">
        <v>4500</v>
      </c>
      <c r="G1276" s="5">
        <v>2670</v>
      </c>
      <c r="H1276" s="5">
        <v>4326</v>
      </c>
      <c r="I1276" s="5" t="s">
        <v>13</v>
      </c>
      <c r="J1276" s="15">
        <f>4*300/4.4</f>
        <v>272.72727272727269</v>
      </c>
      <c r="K1276" s="17">
        <f t="shared" si="38"/>
        <v>4.1670000000000016</v>
      </c>
      <c r="L1276" s="15">
        <f>300*3782*4.1868/3600</f>
        <v>1319.5398</v>
      </c>
      <c r="M1276" s="5">
        <f t="shared" si="39"/>
        <v>3.8890000000000029</v>
      </c>
      <c r="N1276" s="5"/>
      <c r="O1276" s="5">
        <f>37700*1.6978*R1276</f>
        <v>128014.12</v>
      </c>
      <c r="P1276" s="5"/>
      <c r="Q1276" s="5"/>
      <c r="R1276" s="5">
        <v>2</v>
      </c>
      <c r="S1276" s="5">
        <v>1200</v>
      </c>
      <c r="T1276" s="5"/>
      <c r="U1276" s="5">
        <v>960</v>
      </c>
      <c r="V1276" s="15">
        <f t="shared" si="40"/>
        <v>11.185500000000001</v>
      </c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8"/>
      <c r="AP1276" s="8"/>
      <c r="AQ1276" s="8"/>
      <c r="AR1276" s="8"/>
      <c r="AS1276" s="8"/>
      <c r="AT1276" s="8"/>
      <c r="AU1276" s="8"/>
      <c r="AV1276" s="8"/>
      <c r="AW1276" s="8"/>
      <c r="AX1276" s="8"/>
      <c r="AY1276" s="8"/>
      <c r="AZ1276" s="8"/>
      <c r="BA1276" s="8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8"/>
      <c r="BS1276" s="8"/>
      <c r="BT1276" s="8"/>
      <c r="BU1276" s="8"/>
      <c r="BV1276" s="8"/>
      <c r="BW1276" s="8"/>
      <c r="BX1276" s="8"/>
      <c r="BY1276" s="8"/>
      <c r="BZ1276" s="8"/>
      <c r="CA1276" s="8"/>
      <c r="CB1276" s="8"/>
      <c r="CC1276" s="8"/>
      <c r="CD1276" s="8"/>
      <c r="CE1276" s="8"/>
      <c r="CF1276" s="8"/>
      <c r="CG1276" s="8"/>
      <c r="CH1276" s="8"/>
      <c r="CI1276" s="8"/>
      <c r="CJ1276" s="8"/>
      <c r="CK1276" s="8"/>
      <c r="CL1276" s="8"/>
      <c r="CM1276" s="8"/>
      <c r="CN1276" s="8"/>
      <c r="CO1276" s="8"/>
      <c r="CP1276" s="8"/>
      <c r="CQ1276" s="8"/>
      <c r="CR1276" s="8"/>
      <c r="CS1276" s="8"/>
      <c r="CT1276" s="8"/>
      <c r="CU1276" s="8"/>
      <c r="CV1276" s="8"/>
      <c r="CW1276" s="8"/>
      <c r="CX1276" s="8"/>
      <c r="CY1276" s="8"/>
      <c r="CZ1276" s="8"/>
      <c r="DA1276" s="8"/>
      <c r="DB1276" s="8"/>
      <c r="DC1276" s="8"/>
      <c r="DD1276" s="8"/>
      <c r="DE1276" s="8"/>
      <c r="DF1276" s="8"/>
      <c r="DG1276" s="8"/>
      <c r="DH1276" s="8"/>
      <c r="DI1276" s="8"/>
      <c r="DJ1276" s="8"/>
      <c r="DK1276" s="8"/>
      <c r="DL1276" s="8"/>
      <c r="DM1276" s="8"/>
      <c r="DN1276" s="8"/>
      <c r="DO1276" s="8"/>
      <c r="DP1276" s="8"/>
      <c r="DQ1276" s="8"/>
      <c r="DR1276" s="8"/>
      <c r="DS1276" s="8"/>
      <c r="DT1276" s="8"/>
      <c r="DU1276" s="8"/>
      <c r="DV1276" s="8"/>
      <c r="DW1276" s="8"/>
      <c r="DX1276" s="8"/>
      <c r="DY1276" s="8"/>
      <c r="DZ1276" s="8"/>
      <c r="EA1276" s="8"/>
      <c r="EB1276" s="8"/>
      <c r="EC1276" s="8"/>
      <c r="ED1276" s="8"/>
      <c r="EE1276" s="8"/>
      <c r="EF1276" s="8"/>
      <c r="EG1276" s="8"/>
      <c r="EH1276" s="8"/>
      <c r="EI1276" s="8"/>
      <c r="EJ1276" s="8"/>
      <c r="EK1276" s="8"/>
      <c r="EL1276" s="8"/>
      <c r="EM1276" s="8"/>
      <c r="EN1276" s="8"/>
      <c r="EO1276" s="8"/>
      <c r="EP1276" s="8"/>
      <c r="EQ1276" s="8"/>
      <c r="ER1276" s="8"/>
      <c r="ES1276" s="8"/>
      <c r="ET1276" s="8"/>
      <c r="EU1276" s="8"/>
      <c r="EV1276" s="8"/>
      <c r="EW1276" s="8"/>
      <c r="EX1276" s="8"/>
      <c r="EY1276" s="8"/>
      <c r="EZ1276" s="8"/>
      <c r="FA1276" s="8"/>
      <c r="FB1276" s="8"/>
      <c r="FC1276" s="8"/>
      <c r="FD1276" s="8"/>
      <c r="FE1276" s="8"/>
      <c r="FF1276" s="8"/>
      <c r="FG1276" s="8"/>
      <c r="FH1276" s="8"/>
      <c r="FI1276" s="8"/>
      <c r="FJ1276" s="8"/>
      <c r="FK1276" s="8"/>
      <c r="FL1276" s="8"/>
      <c r="FM1276" s="8"/>
      <c r="FN1276" s="8"/>
      <c r="FO1276" s="8"/>
      <c r="FP1276" s="8"/>
      <c r="FQ1276" s="8"/>
      <c r="FR1276" s="8"/>
      <c r="FS1276" s="8"/>
      <c r="FT1276" s="8"/>
      <c r="FU1276" s="8"/>
      <c r="FV1276" s="8"/>
      <c r="FW1276" s="8"/>
      <c r="FX1276" s="8"/>
      <c r="FY1276" s="8"/>
      <c r="FZ1276" s="8"/>
      <c r="GA1276" s="8"/>
      <c r="GB1276" s="8"/>
      <c r="GC1276" s="8"/>
      <c r="GD1276" s="8"/>
      <c r="GE1276" s="8"/>
      <c r="GF1276" s="8"/>
      <c r="GG1276" s="8"/>
      <c r="GH1276" s="8"/>
      <c r="GI1276" s="8"/>
      <c r="GJ1276" s="8"/>
      <c r="GK1276" s="8"/>
      <c r="GL1276" s="8"/>
      <c r="GM1276" s="8"/>
      <c r="GN1276" s="8"/>
      <c r="GO1276" s="8"/>
      <c r="GP1276" s="8"/>
      <c r="GQ1276" s="8"/>
      <c r="GR1276" s="8"/>
      <c r="GS1276" s="8"/>
      <c r="GT1276" s="8"/>
      <c r="GU1276" s="8"/>
      <c r="GV1276" s="8"/>
      <c r="GW1276" s="8"/>
      <c r="GX1276" s="8"/>
      <c r="GY1276" s="8"/>
      <c r="GZ1276" s="8"/>
      <c r="HA1276" s="8"/>
      <c r="HB1276" s="8"/>
      <c r="HC1276" s="8"/>
      <c r="HD1276" s="8"/>
      <c r="HE1276" s="8"/>
      <c r="HF1276" s="8"/>
      <c r="HG1276" s="8"/>
      <c r="HH1276" s="8"/>
      <c r="HI1276" s="8"/>
      <c r="HJ1276" s="8"/>
      <c r="HK1276" s="8"/>
      <c r="HL1276" s="8"/>
      <c r="HM1276" s="8"/>
      <c r="HN1276" s="8"/>
      <c r="HO1276" s="8"/>
      <c r="HP1276" s="8"/>
      <c r="HQ1276" s="8"/>
      <c r="HR1276" s="8"/>
      <c r="HS1276" s="8"/>
      <c r="HT1276" s="8"/>
      <c r="HU1276" s="8"/>
      <c r="HV1276" s="8"/>
      <c r="HW1276" s="8"/>
      <c r="HX1276" s="8"/>
      <c r="HY1276" s="8"/>
      <c r="HZ1276" s="8"/>
      <c r="IA1276" s="8"/>
      <c r="IB1276" s="8"/>
      <c r="IC1276" s="8"/>
      <c r="ID1276" s="8"/>
      <c r="IE1276" s="8"/>
      <c r="IF1276" s="8"/>
    </row>
    <row r="1277" spans="1:240" ht="30" customHeight="1">
      <c r="A1277" s="5">
        <v>1275</v>
      </c>
      <c r="B1277" s="5"/>
      <c r="C1277" s="5"/>
      <c r="D1277" s="5" t="s">
        <v>68</v>
      </c>
      <c r="E1277" s="5">
        <v>4500</v>
      </c>
      <c r="F1277" s="5">
        <v>4200</v>
      </c>
      <c r="G1277" s="5">
        <v>2670</v>
      </c>
      <c r="H1277" s="5">
        <v>5164</v>
      </c>
      <c r="I1277" s="5" t="s">
        <v>13</v>
      </c>
      <c r="J1277" s="15">
        <f>4*350/4.4</f>
        <v>318.18181818181813</v>
      </c>
      <c r="K1277" s="17">
        <f t="shared" si="38"/>
        <v>4.1670000000000016</v>
      </c>
      <c r="L1277" s="15">
        <f>350*3782*4.1868/3600</f>
        <v>1539.4630999999999</v>
      </c>
      <c r="M1277" s="5">
        <f t="shared" si="39"/>
        <v>3.8890000000000029</v>
      </c>
      <c r="N1277" s="5"/>
      <c r="O1277" s="5">
        <f>29300*1.6978*R1277</f>
        <v>149236.62</v>
      </c>
      <c r="P1277" s="5"/>
      <c r="Q1277" s="5"/>
      <c r="R1277" s="5">
        <v>3</v>
      </c>
      <c r="S1277" s="5">
        <v>1200</v>
      </c>
      <c r="T1277" s="5"/>
      <c r="U1277" s="5">
        <v>960</v>
      </c>
      <c r="V1277" s="15">
        <f t="shared" si="40"/>
        <v>16.77825</v>
      </c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8"/>
      <c r="AP1277" s="8"/>
      <c r="AQ1277" s="8"/>
      <c r="AR1277" s="8"/>
      <c r="AS1277" s="8"/>
      <c r="AT1277" s="8"/>
      <c r="AU1277" s="8"/>
      <c r="AV1277" s="8"/>
      <c r="AW1277" s="8"/>
      <c r="AX1277" s="8"/>
      <c r="AY1277" s="8"/>
      <c r="AZ1277" s="8"/>
      <c r="BA1277" s="8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8"/>
      <c r="BS1277" s="8"/>
      <c r="BT1277" s="8"/>
      <c r="BU1277" s="8"/>
      <c r="BV1277" s="8"/>
      <c r="BW1277" s="8"/>
      <c r="BX1277" s="8"/>
      <c r="BY1277" s="8"/>
      <c r="BZ1277" s="8"/>
      <c r="CA1277" s="8"/>
      <c r="CB1277" s="8"/>
      <c r="CC1277" s="8"/>
      <c r="CD1277" s="8"/>
      <c r="CE1277" s="8"/>
      <c r="CF1277" s="8"/>
      <c r="CG1277" s="8"/>
      <c r="CH1277" s="8"/>
      <c r="CI1277" s="8"/>
      <c r="CJ1277" s="8"/>
      <c r="CK1277" s="8"/>
      <c r="CL1277" s="8"/>
      <c r="CM1277" s="8"/>
      <c r="CN1277" s="8"/>
      <c r="CO1277" s="8"/>
      <c r="CP1277" s="8"/>
      <c r="CQ1277" s="8"/>
      <c r="CR1277" s="8"/>
      <c r="CS1277" s="8"/>
      <c r="CT1277" s="8"/>
      <c r="CU1277" s="8"/>
      <c r="CV1277" s="8"/>
      <c r="CW1277" s="8"/>
      <c r="CX1277" s="8"/>
      <c r="CY1277" s="8"/>
      <c r="CZ1277" s="8"/>
      <c r="DA1277" s="8"/>
      <c r="DB1277" s="8"/>
      <c r="DC1277" s="8"/>
      <c r="DD1277" s="8"/>
      <c r="DE1277" s="8"/>
      <c r="DF1277" s="8"/>
      <c r="DG1277" s="8"/>
      <c r="DH1277" s="8"/>
      <c r="DI1277" s="8"/>
      <c r="DJ1277" s="8"/>
      <c r="DK1277" s="8"/>
      <c r="DL1277" s="8"/>
      <c r="DM1277" s="8"/>
      <c r="DN1277" s="8"/>
      <c r="DO1277" s="8"/>
      <c r="DP1277" s="8"/>
      <c r="DQ1277" s="8"/>
      <c r="DR1277" s="8"/>
      <c r="DS1277" s="8"/>
      <c r="DT1277" s="8"/>
      <c r="DU1277" s="8"/>
      <c r="DV1277" s="8"/>
      <c r="DW1277" s="8"/>
      <c r="DX1277" s="8"/>
      <c r="DY1277" s="8"/>
      <c r="DZ1277" s="8"/>
      <c r="EA1277" s="8"/>
      <c r="EB1277" s="8"/>
      <c r="EC1277" s="8"/>
      <c r="ED1277" s="8"/>
      <c r="EE1277" s="8"/>
      <c r="EF1277" s="8"/>
      <c r="EG1277" s="8"/>
      <c r="EH1277" s="8"/>
      <c r="EI1277" s="8"/>
      <c r="EJ1277" s="8"/>
      <c r="EK1277" s="8"/>
      <c r="EL1277" s="8"/>
      <c r="EM1277" s="8"/>
      <c r="EN1277" s="8"/>
      <c r="EO1277" s="8"/>
      <c r="EP1277" s="8"/>
      <c r="EQ1277" s="8"/>
      <c r="ER1277" s="8"/>
      <c r="ES1277" s="8"/>
      <c r="ET1277" s="8"/>
      <c r="EU1277" s="8"/>
      <c r="EV1277" s="8"/>
      <c r="EW1277" s="8"/>
      <c r="EX1277" s="8"/>
      <c r="EY1277" s="8"/>
      <c r="EZ1277" s="8"/>
      <c r="FA1277" s="8"/>
      <c r="FB1277" s="8"/>
      <c r="FC1277" s="8"/>
      <c r="FD1277" s="8"/>
      <c r="FE1277" s="8"/>
      <c r="FF1277" s="8"/>
      <c r="FG1277" s="8"/>
      <c r="FH1277" s="8"/>
      <c r="FI1277" s="8"/>
      <c r="FJ1277" s="8"/>
      <c r="FK1277" s="8"/>
      <c r="FL1277" s="8"/>
      <c r="FM1277" s="8"/>
      <c r="FN1277" s="8"/>
      <c r="FO1277" s="8"/>
      <c r="FP1277" s="8"/>
      <c r="FQ1277" s="8"/>
      <c r="FR1277" s="8"/>
      <c r="FS1277" s="8"/>
      <c r="FT1277" s="8"/>
      <c r="FU1277" s="8"/>
      <c r="FV1277" s="8"/>
      <c r="FW1277" s="8"/>
      <c r="FX1277" s="8"/>
      <c r="FY1277" s="8"/>
      <c r="FZ1277" s="8"/>
      <c r="GA1277" s="8"/>
      <c r="GB1277" s="8"/>
      <c r="GC1277" s="8"/>
      <c r="GD1277" s="8"/>
      <c r="GE1277" s="8"/>
      <c r="GF1277" s="8"/>
      <c r="GG1277" s="8"/>
      <c r="GH1277" s="8"/>
      <c r="GI1277" s="8"/>
      <c r="GJ1277" s="8"/>
      <c r="GK1277" s="8"/>
      <c r="GL1277" s="8"/>
      <c r="GM1277" s="8"/>
      <c r="GN1277" s="8"/>
      <c r="GO1277" s="8"/>
      <c r="GP1277" s="8"/>
      <c r="GQ1277" s="8"/>
      <c r="GR1277" s="8"/>
      <c r="GS1277" s="8"/>
      <c r="GT1277" s="8"/>
      <c r="GU1277" s="8"/>
      <c r="GV1277" s="8"/>
      <c r="GW1277" s="8"/>
      <c r="GX1277" s="8"/>
      <c r="GY1277" s="8"/>
      <c r="GZ1277" s="8"/>
      <c r="HA1277" s="8"/>
      <c r="HB1277" s="8"/>
      <c r="HC1277" s="8"/>
      <c r="HD1277" s="8"/>
      <c r="HE1277" s="8"/>
      <c r="HF1277" s="8"/>
      <c r="HG1277" s="8"/>
      <c r="HH1277" s="8"/>
      <c r="HI1277" s="8"/>
      <c r="HJ1277" s="8"/>
      <c r="HK1277" s="8"/>
      <c r="HL1277" s="8"/>
      <c r="HM1277" s="8"/>
      <c r="HN1277" s="8"/>
      <c r="HO1277" s="8"/>
      <c r="HP1277" s="8"/>
      <c r="HQ1277" s="8"/>
      <c r="HR1277" s="8"/>
      <c r="HS1277" s="8"/>
      <c r="HT1277" s="8"/>
      <c r="HU1277" s="8"/>
      <c r="HV1277" s="8"/>
      <c r="HW1277" s="8"/>
      <c r="HX1277" s="8"/>
      <c r="HY1277" s="8"/>
      <c r="HZ1277" s="8"/>
      <c r="IA1277" s="8"/>
      <c r="IB1277" s="8"/>
      <c r="IC1277" s="8"/>
      <c r="ID1277" s="8"/>
      <c r="IE1277" s="8"/>
      <c r="IF1277" s="8"/>
    </row>
    <row r="1278" spans="1:240" ht="30" customHeight="1">
      <c r="A1278" s="5">
        <v>1276</v>
      </c>
      <c r="B1278" s="5"/>
      <c r="C1278" s="5"/>
      <c r="D1278" s="5" t="s">
        <v>68</v>
      </c>
      <c r="E1278" s="5">
        <v>4500</v>
      </c>
      <c r="F1278" s="5">
        <v>4500</v>
      </c>
      <c r="G1278" s="5">
        <v>2670</v>
      </c>
      <c r="H1278" s="5">
        <v>5425</v>
      </c>
      <c r="I1278" s="5" t="s">
        <v>13</v>
      </c>
      <c r="J1278" s="15">
        <f>4*375/4.4</f>
        <v>340.90909090909088</v>
      </c>
      <c r="K1278" s="17">
        <f t="shared" si="38"/>
        <v>4.1670000000000016</v>
      </c>
      <c r="L1278" s="15">
        <f>375*3782*4.1868/3600</f>
        <v>1649.4247499999999</v>
      </c>
      <c r="M1278" s="5">
        <f t="shared" si="39"/>
        <v>3.8890000000000029</v>
      </c>
      <c r="N1278" s="5"/>
      <c r="O1278" s="5">
        <f>31400*1.6978*R1278</f>
        <v>159932.76</v>
      </c>
      <c r="P1278" s="5"/>
      <c r="Q1278" s="5"/>
      <c r="R1278" s="5">
        <v>3</v>
      </c>
      <c r="S1278" s="5">
        <v>1200</v>
      </c>
      <c r="T1278" s="5"/>
      <c r="U1278" s="5">
        <v>960</v>
      </c>
      <c r="V1278" s="15">
        <f t="shared" si="40"/>
        <v>16.77825</v>
      </c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8"/>
      <c r="AP1278" s="8"/>
      <c r="AQ1278" s="8"/>
      <c r="AR1278" s="8"/>
      <c r="AS1278" s="8"/>
      <c r="AT1278" s="8"/>
      <c r="AU1278" s="8"/>
      <c r="AV1278" s="8"/>
      <c r="AW1278" s="8"/>
      <c r="AX1278" s="8"/>
      <c r="AY1278" s="8"/>
      <c r="AZ1278" s="8"/>
      <c r="BA1278" s="8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8"/>
      <c r="BS1278" s="8"/>
      <c r="BT1278" s="8"/>
      <c r="BU1278" s="8"/>
      <c r="BV1278" s="8"/>
      <c r="BW1278" s="8"/>
      <c r="BX1278" s="8"/>
      <c r="BY1278" s="8"/>
      <c r="BZ1278" s="8"/>
      <c r="CA1278" s="8"/>
      <c r="CB1278" s="8"/>
      <c r="CC1278" s="8"/>
      <c r="CD1278" s="8"/>
      <c r="CE1278" s="8"/>
      <c r="CF1278" s="8"/>
      <c r="CG1278" s="8"/>
      <c r="CH1278" s="8"/>
      <c r="CI1278" s="8"/>
      <c r="CJ1278" s="8"/>
      <c r="CK1278" s="8"/>
      <c r="CL1278" s="8"/>
      <c r="CM1278" s="8"/>
      <c r="CN1278" s="8"/>
      <c r="CO1278" s="8"/>
      <c r="CP1278" s="8"/>
      <c r="CQ1278" s="8"/>
      <c r="CR1278" s="8"/>
      <c r="CS1278" s="8"/>
      <c r="CT1278" s="8"/>
      <c r="CU1278" s="8"/>
      <c r="CV1278" s="8"/>
      <c r="CW1278" s="8"/>
      <c r="CX1278" s="8"/>
      <c r="CY1278" s="8"/>
      <c r="CZ1278" s="8"/>
      <c r="DA1278" s="8"/>
      <c r="DB1278" s="8"/>
      <c r="DC1278" s="8"/>
      <c r="DD1278" s="8"/>
      <c r="DE1278" s="8"/>
      <c r="DF1278" s="8"/>
      <c r="DG1278" s="8"/>
      <c r="DH1278" s="8"/>
      <c r="DI1278" s="8"/>
      <c r="DJ1278" s="8"/>
      <c r="DK1278" s="8"/>
      <c r="DL1278" s="8"/>
      <c r="DM1278" s="8"/>
      <c r="DN1278" s="8"/>
      <c r="DO1278" s="8"/>
      <c r="DP1278" s="8"/>
      <c r="DQ1278" s="8"/>
      <c r="DR1278" s="8"/>
      <c r="DS1278" s="8"/>
      <c r="DT1278" s="8"/>
      <c r="DU1278" s="8"/>
      <c r="DV1278" s="8"/>
      <c r="DW1278" s="8"/>
      <c r="DX1278" s="8"/>
      <c r="DY1278" s="8"/>
      <c r="DZ1278" s="8"/>
      <c r="EA1278" s="8"/>
      <c r="EB1278" s="8"/>
      <c r="EC1278" s="8"/>
      <c r="ED1278" s="8"/>
      <c r="EE1278" s="8"/>
      <c r="EF1278" s="8"/>
      <c r="EG1278" s="8"/>
      <c r="EH1278" s="8"/>
      <c r="EI1278" s="8"/>
      <c r="EJ1278" s="8"/>
      <c r="EK1278" s="8"/>
      <c r="EL1278" s="8"/>
      <c r="EM1278" s="8"/>
      <c r="EN1278" s="8"/>
      <c r="EO1278" s="8"/>
      <c r="EP1278" s="8"/>
      <c r="EQ1278" s="8"/>
      <c r="ER1278" s="8"/>
      <c r="ES1278" s="8"/>
      <c r="ET1278" s="8"/>
      <c r="EU1278" s="8"/>
      <c r="EV1278" s="8"/>
      <c r="EW1278" s="8"/>
      <c r="EX1278" s="8"/>
      <c r="EY1278" s="8"/>
      <c r="EZ1278" s="8"/>
      <c r="FA1278" s="8"/>
      <c r="FB1278" s="8"/>
      <c r="FC1278" s="8"/>
      <c r="FD1278" s="8"/>
      <c r="FE1278" s="8"/>
      <c r="FF1278" s="8"/>
      <c r="FG1278" s="8"/>
      <c r="FH1278" s="8"/>
      <c r="FI1278" s="8"/>
      <c r="FJ1278" s="8"/>
      <c r="FK1278" s="8"/>
      <c r="FL1278" s="8"/>
      <c r="FM1278" s="8"/>
      <c r="FN1278" s="8"/>
      <c r="FO1278" s="8"/>
      <c r="FP1278" s="8"/>
      <c r="FQ1278" s="8"/>
      <c r="FR1278" s="8"/>
      <c r="FS1278" s="8"/>
      <c r="FT1278" s="8"/>
      <c r="FU1278" s="8"/>
      <c r="FV1278" s="8"/>
      <c r="FW1278" s="8"/>
      <c r="FX1278" s="8"/>
      <c r="FY1278" s="8"/>
      <c r="FZ1278" s="8"/>
      <c r="GA1278" s="8"/>
      <c r="GB1278" s="8"/>
      <c r="GC1278" s="8"/>
      <c r="GD1278" s="8"/>
      <c r="GE1278" s="8"/>
      <c r="GF1278" s="8"/>
      <c r="GG1278" s="8"/>
      <c r="GH1278" s="8"/>
      <c r="GI1278" s="8"/>
      <c r="GJ1278" s="8"/>
      <c r="GK1278" s="8"/>
      <c r="GL1278" s="8"/>
      <c r="GM1278" s="8"/>
      <c r="GN1278" s="8"/>
      <c r="GO1278" s="8"/>
      <c r="GP1278" s="8"/>
      <c r="GQ1278" s="8"/>
      <c r="GR1278" s="8"/>
      <c r="GS1278" s="8"/>
      <c r="GT1278" s="8"/>
      <c r="GU1278" s="8"/>
      <c r="GV1278" s="8"/>
      <c r="GW1278" s="8"/>
      <c r="GX1278" s="8"/>
      <c r="GY1278" s="8"/>
      <c r="GZ1278" s="8"/>
      <c r="HA1278" s="8"/>
      <c r="HB1278" s="8"/>
      <c r="HC1278" s="8"/>
      <c r="HD1278" s="8"/>
      <c r="HE1278" s="8"/>
      <c r="HF1278" s="8"/>
      <c r="HG1278" s="8"/>
      <c r="HH1278" s="8"/>
      <c r="HI1278" s="8"/>
      <c r="HJ1278" s="8"/>
      <c r="HK1278" s="8"/>
      <c r="HL1278" s="8"/>
      <c r="HM1278" s="8"/>
      <c r="HN1278" s="8"/>
      <c r="HO1278" s="8"/>
      <c r="HP1278" s="8"/>
      <c r="HQ1278" s="8"/>
      <c r="HR1278" s="8"/>
      <c r="HS1278" s="8"/>
      <c r="HT1278" s="8"/>
      <c r="HU1278" s="8"/>
      <c r="HV1278" s="8"/>
      <c r="HW1278" s="8"/>
      <c r="HX1278" s="8"/>
      <c r="HY1278" s="8"/>
      <c r="HZ1278" s="8"/>
      <c r="IA1278" s="8"/>
      <c r="IB1278" s="8"/>
      <c r="IC1278" s="8"/>
      <c r="ID1278" s="8"/>
      <c r="IE1278" s="8"/>
      <c r="IF1278" s="8"/>
    </row>
    <row r="1279" spans="1:240" ht="30" customHeight="1">
      <c r="A1279" s="5">
        <v>1277</v>
      </c>
      <c r="B1279" s="5"/>
      <c r="C1279" s="5"/>
      <c r="D1279" s="5" t="s">
        <v>68</v>
      </c>
      <c r="E1279" s="5">
        <v>4500</v>
      </c>
      <c r="F1279" s="5">
        <v>4800</v>
      </c>
      <c r="G1279" s="5">
        <v>2670</v>
      </c>
      <c r="H1279" s="5">
        <v>5790</v>
      </c>
      <c r="I1279" s="5" t="s">
        <v>13</v>
      </c>
      <c r="J1279" s="15">
        <f>4*400/4.4</f>
        <v>363.63636363636363</v>
      </c>
      <c r="K1279" s="17">
        <f t="shared" si="38"/>
        <v>4.1670000000000016</v>
      </c>
      <c r="L1279" s="15">
        <f>400*3782*4.1868/3600</f>
        <v>1759.3864000000001</v>
      </c>
      <c r="M1279" s="5">
        <f t="shared" si="39"/>
        <v>3.8890000000000029</v>
      </c>
      <c r="N1279" s="5"/>
      <c r="O1279" s="5">
        <f>33500*1.6978*R1279</f>
        <v>170628.9</v>
      </c>
      <c r="P1279" s="5"/>
      <c r="Q1279" s="5"/>
      <c r="R1279" s="5">
        <v>3</v>
      </c>
      <c r="S1279" s="5">
        <v>1200</v>
      </c>
      <c r="T1279" s="5"/>
      <c r="U1279" s="5">
        <v>960</v>
      </c>
      <c r="V1279" s="15">
        <f t="shared" si="40"/>
        <v>16.77825</v>
      </c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8"/>
      <c r="AP1279" s="8"/>
      <c r="AQ1279" s="8"/>
      <c r="AR1279" s="8"/>
      <c r="AS1279" s="8"/>
      <c r="AT1279" s="8"/>
      <c r="AU1279" s="8"/>
      <c r="AV1279" s="8"/>
      <c r="AW1279" s="8"/>
      <c r="AX1279" s="8"/>
      <c r="AY1279" s="8"/>
      <c r="AZ1279" s="8"/>
      <c r="BA1279" s="8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8"/>
      <c r="BS1279" s="8"/>
      <c r="BT1279" s="8"/>
      <c r="BU1279" s="8"/>
      <c r="BV1279" s="8"/>
      <c r="BW1279" s="8"/>
      <c r="BX1279" s="8"/>
      <c r="BY1279" s="8"/>
      <c r="BZ1279" s="8"/>
      <c r="CA1279" s="8"/>
      <c r="CB1279" s="8"/>
      <c r="CC1279" s="8"/>
      <c r="CD1279" s="8"/>
      <c r="CE1279" s="8"/>
      <c r="CF1279" s="8"/>
      <c r="CG1279" s="8"/>
      <c r="CH1279" s="8"/>
      <c r="CI1279" s="8"/>
      <c r="CJ1279" s="8"/>
      <c r="CK1279" s="8"/>
      <c r="CL1279" s="8"/>
      <c r="CM1279" s="8"/>
      <c r="CN1279" s="8"/>
      <c r="CO1279" s="8"/>
      <c r="CP1279" s="8"/>
      <c r="CQ1279" s="8"/>
      <c r="CR1279" s="8"/>
      <c r="CS1279" s="8"/>
      <c r="CT1279" s="8"/>
      <c r="CU1279" s="8"/>
      <c r="CV1279" s="8"/>
      <c r="CW1279" s="8"/>
      <c r="CX1279" s="8"/>
      <c r="CY1279" s="8"/>
      <c r="CZ1279" s="8"/>
      <c r="DA1279" s="8"/>
      <c r="DB1279" s="8"/>
      <c r="DC1279" s="8"/>
      <c r="DD1279" s="8"/>
      <c r="DE1279" s="8"/>
      <c r="DF1279" s="8"/>
      <c r="DG1279" s="8"/>
      <c r="DH1279" s="8"/>
      <c r="DI1279" s="8"/>
      <c r="DJ1279" s="8"/>
      <c r="DK1279" s="8"/>
      <c r="DL1279" s="8"/>
      <c r="DM1279" s="8"/>
      <c r="DN1279" s="8"/>
      <c r="DO1279" s="8"/>
      <c r="DP1279" s="8"/>
      <c r="DQ1279" s="8"/>
      <c r="DR1279" s="8"/>
      <c r="DS1279" s="8"/>
      <c r="DT1279" s="8"/>
      <c r="DU1279" s="8"/>
      <c r="DV1279" s="8"/>
      <c r="DW1279" s="8"/>
      <c r="DX1279" s="8"/>
      <c r="DY1279" s="8"/>
      <c r="DZ1279" s="8"/>
      <c r="EA1279" s="8"/>
      <c r="EB1279" s="8"/>
      <c r="EC1279" s="8"/>
      <c r="ED1279" s="8"/>
      <c r="EE1279" s="8"/>
      <c r="EF1279" s="8"/>
      <c r="EG1279" s="8"/>
      <c r="EH1279" s="8"/>
      <c r="EI1279" s="8"/>
      <c r="EJ1279" s="8"/>
      <c r="EK1279" s="8"/>
      <c r="EL1279" s="8"/>
      <c r="EM1279" s="8"/>
      <c r="EN1279" s="8"/>
      <c r="EO1279" s="8"/>
      <c r="EP1279" s="8"/>
      <c r="EQ1279" s="8"/>
      <c r="ER1279" s="8"/>
      <c r="ES1279" s="8"/>
      <c r="ET1279" s="8"/>
      <c r="EU1279" s="8"/>
      <c r="EV1279" s="8"/>
      <c r="EW1279" s="8"/>
      <c r="EX1279" s="8"/>
      <c r="EY1279" s="8"/>
      <c r="EZ1279" s="8"/>
      <c r="FA1279" s="8"/>
      <c r="FB1279" s="8"/>
      <c r="FC1279" s="8"/>
      <c r="FD1279" s="8"/>
      <c r="FE1279" s="8"/>
      <c r="FF1279" s="8"/>
      <c r="FG1279" s="8"/>
      <c r="FH1279" s="8"/>
      <c r="FI1279" s="8"/>
      <c r="FJ1279" s="8"/>
      <c r="FK1279" s="8"/>
      <c r="FL1279" s="8"/>
      <c r="FM1279" s="8"/>
      <c r="FN1279" s="8"/>
      <c r="FO1279" s="8"/>
      <c r="FP1279" s="8"/>
      <c r="FQ1279" s="8"/>
      <c r="FR1279" s="8"/>
      <c r="FS1279" s="8"/>
      <c r="FT1279" s="8"/>
      <c r="FU1279" s="8"/>
      <c r="FV1279" s="8"/>
      <c r="FW1279" s="8"/>
      <c r="FX1279" s="8"/>
      <c r="FY1279" s="8"/>
      <c r="FZ1279" s="8"/>
      <c r="GA1279" s="8"/>
      <c r="GB1279" s="8"/>
      <c r="GC1279" s="8"/>
      <c r="GD1279" s="8"/>
      <c r="GE1279" s="8"/>
      <c r="GF1279" s="8"/>
      <c r="GG1279" s="8"/>
      <c r="GH1279" s="8"/>
      <c r="GI1279" s="8"/>
      <c r="GJ1279" s="8"/>
      <c r="GK1279" s="8"/>
      <c r="GL1279" s="8"/>
      <c r="GM1279" s="8"/>
      <c r="GN1279" s="8"/>
      <c r="GO1279" s="8"/>
      <c r="GP1279" s="8"/>
      <c r="GQ1279" s="8"/>
      <c r="GR1279" s="8"/>
      <c r="GS1279" s="8"/>
      <c r="GT1279" s="8"/>
      <c r="GU1279" s="8"/>
      <c r="GV1279" s="8"/>
      <c r="GW1279" s="8"/>
      <c r="GX1279" s="8"/>
      <c r="GY1279" s="8"/>
      <c r="GZ1279" s="8"/>
      <c r="HA1279" s="8"/>
      <c r="HB1279" s="8"/>
      <c r="HC1279" s="8"/>
      <c r="HD1279" s="8"/>
      <c r="HE1279" s="8"/>
      <c r="HF1279" s="8"/>
      <c r="HG1279" s="8"/>
      <c r="HH1279" s="8"/>
      <c r="HI1279" s="8"/>
      <c r="HJ1279" s="8"/>
      <c r="HK1279" s="8"/>
      <c r="HL1279" s="8"/>
      <c r="HM1279" s="8"/>
      <c r="HN1279" s="8"/>
      <c r="HO1279" s="8"/>
      <c r="HP1279" s="8"/>
      <c r="HQ1279" s="8"/>
      <c r="HR1279" s="8"/>
      <c r="HS1279" s="8"/>
      <c r="HT1279" s="8"/>
      <c r="HU1279" s="8"/>
      <c r="HV1279" s="8"/>
      <c r="HW1279" s="8"/>
      <c r="HX1279" s="8"/>
      <c r="HY1279" s="8"/>
      <c r="HZ1279" s="8"/>
      <c r="IA1279" s="8"/>
      <c r="IB1279" s="8"/>
      <c r="IC1279" s="8"/>
      <c r="ID1279" s="8"/>
      <c r="IE1279" s="8"/>
      <c r="IF1279" s="8"/>
    </row>
    <row r="1280" spans="1:240" ht="30" customHeight="1">
      <c r="A1280" s="5">
        <v>1278</v>
      </c>
      <c r="B1280" s="5"/>
      <c r="C1280" s="5"/>
      <c r="D1280" s="5" t="s">
        <v>68</v>
      </c>
      <c r="E1280" s="5">
        <v>5400</v>
      </c>
      <c r="F1280" s="5">
        <v>4200</v>
      </c>
      <c r="G1280" s="5">
        <v>2670</v>
      </c>
      <c r="H1280" s="5">
        <v>5957</v>
      </c>
      <c r="I1280" s="5" t="s">
        <v>13</v>
      </c>
      <c r="J1280" s="15">
        <f>4*420/4.4</f>
        <v>381.81818181818181</v>
      </c>
      <c r="K1280" s="17">
        <f t="shared" si="38"/>
        <v>4.1670000000000016</v>
      </c>
      <c r="L1280" s="15">
        <f>420*3782*4.1868/3600</f>
        <v>1847.35572</v>
      </c>
      <c r="M1280" s="5">
        <f t="shared" si="39"/>
        <v>3.8890000000000029</v>
      </c>
      <c r="N1280" s="5"/>
      <c r="O1280" s="5">
        <f>35100*1.6978*R1280</f>
        <v>178778.34</v>
      </c>
      <c r="P1280" s="5"/>
      <c r="Q1280" s="5"/>
      <c r="R1280" s="5">
        <v>3</v>
      </c>
      <c r="S1280" s="5">
        <v>1200</v>
      </c>
      <c r="T1280" s="5"/>
      <c r="U1280" s="5">
        <v>960</v>
      </c>
      <c r="V1280" s="15">
        <f t="shared" si="40"/>
        <v>16.77825</v>
      </c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8"/>
      <c r="AP1280" s="8"/>
      <c r="AQ1280" s="8"/>
      <c r="AR1280" s="8"/>
      <c r="AS1280" s="8"/>
      <c r="AT1280" s="8"/>
      <c r="AU1280" s="8"/>
      <c r="AV1280" s="8"/>
      <c r="AW1280" s="8"/>
      <c r="AX1280" s="8"/>
      <c r="AY1280" s="8"/>
      <c r="AZ1280" s="8"/>
      <c r="BA1280" s="8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8"/>
      <c r="BS1280" s="8"/>
      <c r="BT1280" s="8"/>
      <c r="BU1280" s="8"/>
      <c r="BV1280" s="8"/>
      <c r="BW1280" s="8"/>
      <c r="BX1280" s="8"/>
      <c r="BY1280" s="8"/>
      <c r="BZ1280" s="8"/>
      <c r="CA1280" s="8"/>
      <c r="CB1280" s="8"/>
      <c r="CC1280" s="8"/>
      <c r="CD1280" s="8"/>
      <c r="CE1280" s="8"/>
      <c r="CF1280" s="8"/>
      <c r="CG1280" s="8"/>
      <c r="CH1280" s="8"/>
      <c r="CI1280" s="8"/>
      <c r="CJ1280" s="8"/>
      <c r="CK1280" s="8"/>
      <c r="CL1280" s="8"/>
      <c r="CM1280" s="8"/>
      <c r="CN1280" s="8"/>
      <c r="CO1280" s="8"/>
      <c r="CP1280" s="8"/>
      <c r="CQ1280" s="8"/>
      <c r="CR1280" s="8"/>
      <c r="CS1280" s="8"/>
      <c r="CT1280" s="8"/>
      <c r="CU1280" s="8"/>
      <c r="CV1280" s="8"/>
      <c r="CW1280" s="8"/>
      <c r="CX1280" s="8"/>
      <c r="CY1280" s="8"/>
      <c r="CZ1280" s="8"/>
      <c r="DA1280" s="8"/>
      <c r="DB1280" s="8"/>
      <c r="DC1280" s="8"/>
      <c r="DD1280" s="8"/>
      <c r="DE1280" s="8"/>
      <c r="DF1280" s="8"/>
      <c r="DG1280" s="8"/>
      <c r="DH1280" s="8"/>
      <c r="DI1280" s="8"/>
      <c r="DJ1280" s="8"/>
      <c r="DK1280" s="8"/>
      <c r="DL1280" s="8"/>
      <c r="DM1280" s="8"/>
      <c r="DN1280" s="8"/>
      <c r="DO1280" s="8"/>
      <c r="DP1280" s="8"/>
      <c r="DQ1280" s="8"/>
      <c r="DR1280" s="8"/>
      <c r="DS1280" s="8"/>
      <c r="DT1280" s="8"/>
      <c r="DU1280" s="8"/>
      <c r="DV1280" s="8"/>
      <c r="DW1280" s="8"/>
      <c r="DX1280" s="8"/>
      <c r="DY1280" s="8"/>
      <c r="DZ1280" s="8"/>
      <c r="EA1280" s="8"/>
      <c r="EB1280" s="8"/>
      <c r="EC1280" s="8"/>
      <c r="ED1280" s="8"/>
      <c r="EE1280" s="8"/>
      <c r="EF1280" s="8"/>
      <c r="EG1280" s="8"/>
      <c r="EH1280" s="8"/>
      <c r="EI1280" s="8"/>
      <c r="EJ1280" s="8"/>
      <c r="EK1280" s="8"/>
      <c r="EL1280" s="8"/>
      <c r="EM1280" s="8"/>
      <c r="EN1280" s="8"/>
      <c r="EO1280" s="8"/>
      <c r="EP1280" s="8"/>
      <c r="EQ1280" s="8"/>
      <c r="ER1280" s="8"/>
      <c r="ES1280" s="8"/>
      <c r="ET1280" s="8"/>
      <c r="EU1280" s="8"/>
      <c r="EV1280" s="8"/>
      <c r="EW1280" s="8"/>
      <c r="EX1280" s="8"/>
      <c r="EY1280" s="8"/>
      <c r="EZ1280" s="8"/>
      <c r="FA1280" s="8"/>
      <c r="FB1280" s="8"/>
      <c r="FC1280" s="8"/>
      <c r="FD1280" s="8"/>
      <c r="FE1280" s="8"/>
      <c r="FF1280" s="8"/>
      <c r="FG1280" s="8"/>
      <c r="FH1280" s="8"/>
      <c r="FI1280" s="8"/>
      <c r="FJ1280" s="8"/>
      <c r="FK1280" s="8"/>
      <c r="FL1280" s="8"/>
      <c r="FM1280" s="8"/>
      <c r="FN1280" s="8"/>
      <c r="FO1280" s="8"/>
      <c r="FP1280" s="8"/>
      <c r="FQ1280" s="8"/>
      <c r="FR1280" s="8"/>
      <c r="FS1280" s="8"/>
      <c r="FT1280" s="8"/>
      <c r="FU1280" s="8"/>
      <c r="FV1280" s="8"/>
      <c r="FW1280" s="8"/>
      <c r="FX1280" s="8"/>
      <c r="FY1280" s="8"/>
      <c r="FZ1280" s="8"/>
      <c r="GA1280" s="8"/>
      <c r="GB1280" s="8"/>
      <c r="GC1280" s="8"/>
      <c r="GD1280" s="8"/>
      <c r="GE1280" s="8"/>
      <c r="GF1280" s="8"/>
      <c r="GG1280" s="8"/>
      <c r="GH1280" s="8"/>
      <c r="GI1280" s="8"/>
      <c r="GJ1280" s="8"/>
      <c r="GK1280" s="8"/>
      <c r="GL1280" s="8"/>
      <c r="GM1280" s="8"/>
      <c r="GN1280" s="8"/>
      <c r="GO1280" s="8"/>
      <c r="GP1280" s="8"/>
      <c r="GQ1280" s="8"/>
      <c r="GR1280" s="8"/>
      <c r="GS1280" s="8"/>
      <c r="GT1280" s="8"/>
      <c r="GU1280" s="8"/>
      <c r="GV1280" s="8"/>
      <c r="GW1280" s="8"/>
      <c r="GX1280" s="8"/>
      <c r="GY1280" s="8"/>
      <c r="GZ1280" s="8"/>
      <c r="HA1280" s="8"/>
      <c r="HB1280" s="8"/>
      <c r="HC1280" s="8"/>
      <c r="HD1280" s="8"/>
      <c r="HE1280" s="8"/>
      <c r="HF1280" s="8"/>
      <c r="HG1280" s="8"/>
      <c r="HH1280" s="8"/>
      <c r="HI1280" s="8"/>
      <c r="HJ1280" s="8"/>
      <c r="HK1280" s="8"/>
      <c r="HL1280" s="8"/>
      <c r="HM1280" s="8"/>
      <c r="HN1280" s="8"/>
      <c r="HO1280" s="8"/>
      <c r="HP1280" s="8"/>
      <c r="HQ1280" s="8"/>
      <c r="HR1280" s="8"/>
      <c r="HS1280" s="8"/>
      <c r="HT1280" s="8"/>
      <c r="HU1280" s="8"/>
      <c r="HV1280" s="8"/>
      <c r="HW1280" s="8"/>
      <c r="HX1280" s="8"/>
      <c r="HY1280" s="8"/>
      <c r="HZ1280" s="8"/>
      <c r="IA1280" s="8"/>
      <c r="IB1280" s="8"/>
      <c r="IC1280" s="8"/>
      <c r="ID1280" s="8"/>
      <c r="IE1280" s="8"/>
      <c r="IF1280" s="8"/>
    </row>
    <row r="1281" spans="1:240" ht="30" customHeight="1">
      <c r="A1281" s="5">
        <v>1279</v>
      </c>
      <c r="B1281" s="5"/>
      <c r="C1281" s="5"/>
      <c r="D1281" s="5" t="s">
        <v>68</v>
      </c>
      <c r="E1281" s="5">
        <v>5400</v>
      </c>
      <c r="F1281" s="5">
        <v>4500</v>
      </c>
      <c r="G1281" s="5">
        <v>2670</v>
      </c>
      <c r="H1281" s="5">
        <v>6450</v>
      </c>
      <c r="I1281" s="5" t="s">
        <v>13</v>
      </c>
      <c r="J1281" s="15">
        <f>4*450/4.4</f>
        <v>409.09090909090907</v>
      </c>
      <c r="K1281" s="17">
        <f t="shared" si="38"/>
        <v>4.1670000000000016</v>
      </c>
      <c r="L1281" s="15">
        <f>450*3782*4.1868/3600</f>
        <v>1979.3097</v>
      </c>
      <c r="M1281" s="5">
        <f t="shared" si="39"/>
        <v>3.8890000000000029</v>
      </c>
      <c r="N1281" s="5"/>
      <c r="O1281" s="5">
        <f>37700*1.6978*R1281</f>
        <v>192021.18</v>
      </c>
      <c r="P1281" s="5"/>
      <c r="Q1281" s="5"/>
      <c r="R1281" s="5">
        <v>3</v>
      </c>
      <c r="S1281" s="5">
        <v>1200</v>
      </c>
      <c r="T1281" s="5"/>
      <c r="U1281" s="5">
        <v>960</v>
      </c>
      <c r="V1281" s="15">
        <f t="shared" si="40"/>
        <v>16.77825</v>
      </c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8"/>
      <c r="AP1281" s="8"/>
      <c r="AQ1281" s="8"/>
      <c r="AR1281" s="8"/>
      <c r="AS1281" s="8"/>
      <c r="AT1281" s="8"/>
      <c r="AU1281" s="8"/>
      <c r="AV1281" s="8"/>
      <c r="AW1281" s="8"/>
      <c r="AX1281" s="8"/>
      <c r="AY1281" s="8"/>
      <c r="AZ1281" s="8"/>
      <c r="BA1281" s="8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8"/>
      <c r="BS1281" s="8"/>
      <c r="BT1281" s="8"/>
      <c r="BU1281" s="8"/>
      <c r="BV1281" s="8"/>
      <c r="BW1281" s="8"/>
      <c r="BX1281" s="8"/>
      <c r="BY1281" s="8"/>
      <c r="BZ1281" s="8"/>
      <c r="CA1281" s="8"/>
      <c r="CB1281" s="8"/>
      <c r="CC1281" s="8"/>
      <c r="CD1281" s="8"/>
      <c r="CE1281" s="8"/>
      <c r="CF1281" s="8"/>
      <c r="CG1281" s="8"/>
      <c r="CH1281" s="8"/>
      <c r="CI1281" s="8"/>
      <c r="CJ1281" s="8"/>
      <c r="CK1281" s="8"/>
      <c r="CL1281" s="8"/>
      <c r="CM1281" s="8"/>
      <c r="CN1281" s="8"/>
      <c r="CO1281" s="8"/>
      <c r="CP1281" s="8"/>
      <c r="CQ1281" s="8"/>
      <c r="CR1281" s="8"/>
      <c r="CS1281" s="8"/>
      <c r="CT1281" s="8"/>
      <c r="CU1281" s="8"/>
      <c r="CV1281" s="8"/>
      <c r="CW1281" s="8"/>
      <c r="CX1281" s="8"/>
      <c r="CY1281" s="8"/>
      <c r="CZ1281" s="8"/>
      <c r="DA1281" s="8"/>
      <c r="DB1281" s="8"/>
      <c r="DC1281" s="8"/>
      <c r="DD1281" s="8"/>
      <c r="DE1281" s="8"/>
      <c r="DF1281" s="8"/>
      <c r="DG1281" s="8"/>
      <c r="DH1281" s="8"/>
      <c r="DI1281" s="8"/>
      <c r="DJ1281" s="8"/>
      <c r="DK1281" s="8"/>
      <c r="DL1281" s="8"/>
      <c r="DM1281" s="8"/>
      <c r="DN1281" s="8"/>
      <c r="DO1281" s="8"/>
      <c r="DP1281" s="8"/>
      <c r="DQ1281" s="8"/>
      <c r="DR1281" s="8"/>
      <c r="DS1281" s="8"/>
      <c r="DT1281" s="8"/>
      <c r="DU1281" s="8"/>
      <c r="DV1281" s="8"/>
      <c r="DW1281" s="8"/>
      <c r="DX1281" s="8"/>
      <c r="DY1281" s="8"/>
      <c r="DZ1281" s="8"/>
      <c r="EA1281" s="8"/>
      <c r="EB1281" s="8"/>
      <c r="EC1281" s="8"/>
      <c r="ED1281" s="8"/>
      <c r="EE1281" s="8"/>
      <c r="EF1281" s="8"/>
      <c r="EG1281" s="8"/>
      <c r="EH1281" s="8"/>
      <c r="EI1281" s="8"/>
      <c r="EJ1281" s="8"/>
      <c r="EK1281" s="8"/>
      <c r="EL1281" s="8"/>
      <c r="EM1281" s="8"/>
      <c r="EN1281" s="8"/>
      <c r="EO1281" s="8"/>
      <c r="EP1281" s="8"/>
      <c r="EQ1281" s="8"/>
      <c r="ER1281" s="8"/>
      <c r="ES1281" s="8"/>
      <c r="ET1281" s="8"/>
      <c r="EU1281" s="8"/>
      <c r="EV1281" s="8"/>
      <c r="EW1281" s="8"/>
      <c r="EX1281" s="8"/>
      <c r="EY1281" s="8"/>
      <c r="EZ1281" s="8"/>
      <c r="FA1281" s="8"/>
      <c r="FB1281" s="8"/>
      <c r="FC1281" s="8"/>
      <c r="FD1281" s="8"/>
      <c r="FE1281" s="8"/>
      <c r="FF1281" s="8"/>
      <c r="FG1281" s="8"/>
      <c r="FH1281" s="8"/>
      <c r="FI1281" s="8"/>
      <c r="FJ1281" s="8"/>
      <c r="FK1281" s="8"/>
      <c r="FL1281" s="8"/>
      <c r="FM1281" s="8"/>
      <c r="FN1281" s="8"/>
      <c r="FO1281" s="8"/>
      <c r="FP1281" s="8"/>
      <c r="FQ1281" s="8"/>
      <c r="FR1281" s="8"/>
      <c r="FS1281" s="8"/>
      <c r="FT1281" s="8"/>
      <c r="FU1281" s="8"/>
      <c r="FV1281" s="8"/>
      <c r="FW1281" s="8"/>
      <c r="FX1281" s="8"/>
      <c r="FY1281" s="8"/>
      <c r="FZ1281" s="8"/>
      <c r="GA1281" s="8"/>
      <c r="GB1281" s="8"/>
      <c r="GC1281" s="8"/>
      <c r="GD1281" s="8"/>
      <c r="GE1281" s="8"/>
      <c r="GF1281" s="8"/>
      <c r="GG1281" s="8"/>
      <c r="GH1281" s="8"/>
      <c r="GI1281" s="8"/>
      <c r="GJ1281" s="8"/>
      <c r="GK1281" s="8"/>
      <c r="GL1281" s="8"/>
      <c r="GM1281" s="8"/>
      <c r="GN1281" s="8"/>
      <c r="GO1281" s="8"/>
      <c r="GP1281" s="8"/>
      <c r="GQ1281" s="8"/>
      <c r="GR1281" s="8"/>
      <c r="GS1281" s="8"/>
      <c r="GT1281" s="8"/>
      <c r="GU1281" s="8"/>
      <c r="GV1281" s="8"/>
      <c r="GW1281" s="8"/>
      <c r="GX1281" s="8"/>
      <c r="GY1281" s="8"/>
      <c r="GZ1281" s="8"/>
      <c r="HA1281" s="8"/>
      <c r="HB1281" s="8"/>
      <c r="HC1281" s="8"/>
      <c r="HD1281" s="8"/>
      <c r="HE1281" s="8"/>
      <c r="HF1281" s="8"/>
      <c r="HG1281" s="8"/>
      <c r="HH1281" s="8"/>
      <c r="HI1281" s="8"/>
      <c r="HJ1281" s="8"/>
      <c r="HK1281" s="8"/>
      <c r="HL1281" s="8"/>
      <c r="HM1281" s="8"/>
      <c r="HN1281" s="8"/>
      <c r="HO1281" s="8"/>
      <c r="HP1281" s="8"/>
      <c r="HQ1281" s="8"/>
      <c r="HR1281" s="8"/>
      <c r="HS1281" s="8"/>
      <c r="HT1281" s="8"/>
      <c r="HU1281" s="8"/>
      <c r="HV1281" s="8"/>
      <c r="HW1281" s="8"/>
      <c r="HX1281" s="8"/>
      <c r="HY1281" s="8"/>
      <c r="HZ1281" s="8"/>
      <c r="IA1281" s="8"/>
      <c r="IB1281" s="8"/>
      <c r="IC1281" s="8"/>
      <c r="ID1281" s="8"/>
      <c r="IE1281" s="8"/>
      <c r="IF1281" s="8"/>
    </row>
    <row r="1282" spans="1:240" ht="30" customHeight="1">
      <c r="A1282" s="5">
        <v>1280</v>
      </c>
      <c r="B1282" s="5"/>
      <c r="C1282" s="5"/>
      <c r="D1282" s="5" t="s">
        <v>68</v>
      </c>
      <c r="E1282" s="5">
        <v>600</v>
      </c>
      <c r="F1282" s="5">
        <v>600</v>
      </c>
      <c r="G1282" s="5">
        <v>2590</v>
      </c>
      <c r="H1282" s="5">
        <v>165</v>
      </c>
      <c r="I1282" s="5" t="s">
        <v>13</v>
      </c>
      <c r="J1282" s="15">
        <f>4*5/4.4</f>
        <v>4.545454545454545</v>
      </c>
      <c r="K1282" s="17">
        <f t="shared" si="38"/>
        <v>4.1670000000000016</v>
      </c>
      <c r="L1282" s="15">
        <f>5*3782*4.1868/3600</f>
        <v>21.992329999999999</v>
      </c>
      <c r="M1282" s="5">
        <f t="shared" si="39"/>
        <v>3.8890000000000029</v>
      </c>
      <c r="N1282" s="5"/>
      <c r="O1282" s="5">
        <f>1675*1.6978*R1282</f>
        <v>2843.8150000000001</v>
      </c>
      <c r="P1282" s="5"/>
      <c r="Q1282" s="5"/>
      <c r="R1282" s="5">
        <v>1</v>
      </c>
      <c r="S1282" s="5">
        <v>450</v>
      </c>
      <c r="T1282" s="5"/>
      <c r="U1282" s="5">
        <v>1400</v>
      </c>
      <c r="V1282" s="15">
        <f>0.7457*0.5*R1282</f>
        <v>0.37285000000000001</v>
      </c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8"/>
      <c r="BS1282" s="8"/>
      <c r="BT1282" s="8"/>
      <c r="BU1282" s="8"/>
      <c r="BV1282" s="8"/>
      <c r="BW1282" s="8"/>
      <c r="BX1282" s="8"/>
      <c r="BY1282" s="8"/>
      <c r="BZ1282" s="8"/>
      <c r="CA1282" s="8"/>
      <c r="CB1282" s="8"/>
      <c r="CC1282" s="8"/>
      <c r="CD1282" s="8"/>
      <c r="CE1282" s="8"/>
      <c r="CF1282" s="8"/>
      <c r="CG1282" s="8"/>
      <c r="CH1282" s="8"/>
      <c r="CI1282" s="8"/>
      <c r="CJ1282" s="8"/>
      <c r="CK1282" s="8"/>
      <c r="CL1282" s="8"/>
      <c r="CM1282" s="8"/>
      <c r="CN1282" s="8"/>
      <c r="CO1282" s="8"/>
      <c r="CP1282" s="8"/>
      <c r="CQ1282" s="8"/>
      <c r="CR1282" s="8"/>
      <c r="CS1282" s="8"/>
      <c r="CT1282" s="8"/>
      <c r="CU1282" s="8"/>
      <c r="CV1282" s="8"/>
      <c r="CW1282" s="8"/>
      <c r="CX1282" s="8"/>
      <c r="CY1282" s="8"/>
      <c r="CZ1282" s="8"/>
      <c r="DA1282" s="8"/>
      <c r="DB1282" s="8"/>
      <c r="DC1282" s="8"/>
      <c r="DD1282" s="8"/>
      <c r="DE1282" s="8"/>
      <c r="DF1282" s="8"/>
      <c r="DG1282" s="8"/>
      <c r="DH1282" s="8"/>
      <c r="DI1282" s="8"/>
      <c r="DJ1282" s="8"/>
      <c r="DK1282" s="8"/>
      <c r="DL1282" s="8"/>
      <c r="DM1282" s="8"/>
      <c r="DN1282" s="8"/>
      <c r="DO1282" s="8"/>
      <c r="DP1282" s="8"/>
      <c r="DQ1282" s="8"/>
      <c r="DR1282" s="8"/>
      <c r="DS1282" s="8"/>
      <c r="DT1282" s="8"/>
      <c r="DU1282" s="8"/>
      <c r="DV1282" s="8"/>
      <c r="DW1282" s="8"/>
      <c r="DX1282" s="8"/>
      <c r="DY1282" s="8"/>
      <c r="DZ1282" s="8"/>
      <c r="EA1282" s="8"/>
      <c r="EB1282" s="8"/>
      <c r="EC1282" s="8"/>
      <c r="ED1282" s="8"/>
      <c r="EE1282" s="8"/>
      <c r="EF1282" s="8"/>
      <c r="EG1282" s="8"/>
      <c r="EH1282" s="8"/>
      <c r="EI1282" s="8"/>
      <c r="EJ1282" s="8"/>
      <c r="EK1282" s="8"/>
      <c r="EL1282" s="8"/>
      <c r="EM1282" s="8"/>
      <c r="EN1282" s="8"/>
      <c r="EO1282" s="8"/>
      <c r="EP1282" s="8"/>
      <c r="EQ1282" s="8"/>
      <c r="ER1282" s="8"/>
      <c r="ES1282" s="8"/>
      <c r="ET1282" s="8"/>
      <c r="EU1282" s="8"/>
      <c r="EV1282" s="8"/>
      <c r="EW1282" s="8"/>
      <c r="EX1282" s="8"/>
      <c r="EY1282" s="8"/>
      <c r="EZ1282" s="8"/>
      <c r="FA1282" s="8"/>
      <c r="FB1282" s="8"/>
      <c r="FC1282" s="8"/>
      <c r="FD1282" s="8"/>
      <c r="FE1282" s="8"/>
      <c r="FF1282" s="8"/>
      <c r="FG1282" s="8"/>
      <c r="FH1282" s="8"/>
      <c r="FI1282" s="8"/>
      <c r="FJ1282" s="8"/>
      <c r="FK1282" s="8"/>
      <c r="FL1282" s="8"/>
      <c r="FM1282" s="8"/>
      <c r="FN1282" s="8"/>
      <c r="FO1282" s="8"/>
      <c r="FP1282" s="8"/>
      <c r="FQ1282" s="8"/>
      <c r="FR1282" s="8"/>
      <c r="FS1282" s="8"/>
      <c r="FT1282" s="8"/>
      <c r="FU1282" s="8"/>
      <c r="FV1282" s="8"/>
      <c r="FW1282" s="8"/>
      <c r="FX1282" s="8"/>
      <c r="FY1282" s="8"/>
      <c r="FZ1282" s="8"/>
      <c r="GA1282" s="8"/>
      <c r="GB1282" s="8"/>
      <c r="GC1282" s="8"/>
      <c r="GD1282" s="8"/>
      <c r="GE1282" s="8"/>
      <c r="GF1282" s="8"/>
      <c r="GG1282" s="8"/>
      <c r="GH1282" s="8"/>
      <c r="GI1282" s="8"/>
      <c r="GJ1282" s="8"/>
      <c r="GK1282" s="8"/>
      <c r="GL1282" s="8"/>
      <c r="GM1282" s="8"/>
      <c r="GN1282" s="8"/>
      <c r="GO1282" s="8"/>
      <c r="GP1282" s="8"/>
      <c r="GQ1282" s="8"/>
      <c r="GR1282" s="8"/>
      <c r="GS1282" s="8"/>
      <c r="GT1282" s="8"/>
      <c r="GU1282" s="8"/>
      <c r="GV1282" s="8"/>
      <c r="GW1282" s="8"/>
      <c r="GX1282" s="8"/>
      <c r="GY1282" s="8"/>
      <c r="GZ1282" s="8"/>
      <c r="HA1282" s="8"/>
      <c r="HB1282" s="8"/>
      <c r="HC1282" s="8"/>
      <c r="HD1282" s="8"/>
      <c r="HE1282" s="8"/>
      <c r="HF1282" s="8"/>
      <c r="HG1282" s="8"/>
      <c r="HH1282" s="8"/>
      <c r="HI1282" s="8"/>
      <c r="HJ1282" s="8"/>
      <c r="HK1282" s="8"/>
      <c r="HL1282" s="8"/>
      <c r="HM1282" s="8"/>
      <c r="HN1282" s="8"/>
      <c r="HO1282" s="8"/>
      <c r="HP1282" s="8"/>
      <c r="HQ1282" s="8"/>
      <c r="HR1282" s="8"/>
      <c r="HS1282" s="8"/>
      <c r="HT1282" s="8"/>
      <c r="HU1282" s="8"/>
      <c r="HV1282" s="8"/>
      <c r="HW1282" s="8"/>
      <c r="HX1282" s="8"/>
      <c r="HY1282" s="8"/>
      <c r="HZ1282" s="8"/>
      <c r="IA1282" s="8"/>
      <c r="IB1282" s="8"/>
      <c r="IC1282" s="8"/>
      <c r="ID1282" s="8"/>
      <c r="IE1282" s="8"/>
      <c r="IF1282" s="8"/>
    </row>
    <row r="1283" spans="1:240" ht="30" customHeight="1">
      <c r="A1283" s="5">
        <v>1281</v>
      </c>
      <c r="B1283" s="5"/>
      <c r="C1283" s="5"/>
      <c r="D1283" s="5" t="s">
        <v>68</v>
      </c>
      <c r="E1283" s="5">
        <v>900</v>
      </c>
      <c r="F1283" s="5">
        <v>600</v>
      </c>
      <c r="G1283" s="5">
        <v>2590</v>
      </c>
      <c r="H1283" s="5">
        <v>185</v>
      </c>
      <c r="I1283" s="5" t="s">
        <v>13</v>
      </c>
      <c r="J1283" s="15">
        <f>4*10/4.4</f>
        <v>9.0909090909090899</v>
      </c>
      <c r="K1283" s="17">
        <f t="shared" si="38"/>
        <v>4.1670000000000016</v>
      </c>
      <c r="L1283" s="15">
        <f>10*3782*4.1868/3600</f>
        <v>43.984659999999998</v>
      </c>
      <c r="M1283" s="5">
        <f t="shared" si="39"/>
        <v>3.8890000000000029</v>
      </c>
      <c r="N1283" s="5"/>
      <c r="O1283" s="5">
        <f>2500*1.6978*R1283</f>
        <v>4244.5</v>
      </c>
      <c r="P1283" s="5"/>
      <c r="Q1283" s="5"/>
      <c r="R1283" s="5">
        <v>1</v>
      </c>
      <c r="S1283" s="5">
        <v>450</v>
      </c>
      <c r="T1283" s="5"/>
      <c r="U1283" s="5">
        <v>1400</v>
      </c>
      <c r="V1283" s="15">
        <f>0.7457*0.5*R1283</f>
        <v>0.37285000000000001</v>
      </c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8"/>
      <c r="AP1283" s="8"/>
      <c r="AQ1283" s="8"/>
      <c r="AR1283" s="8"/>
      <c r="AS1283" s="8"/>
      <c r="AT1283" s="8"/>
      <c r="AU1283" s="8"/>
      <c r="AV1283" s="8"/>
      <c r="AW1283" s="8"/>
      <c r="AX1283" s="8"/>
      <c r="AY1283" s="8"/>
      <c r="AZ1283" s="8"/>
      <c r="BA1283" s="8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8"/>
      <c r="BS1283" s="8"/>
      <c r="BT1283" s="8"/>
      <c r="BU1283" s="8"/>
      <c r="BV1283" s="8"/>
      <c r="BW1283" s="8"/>
      <c r="BX1283" s="8"/>
      <c r="BY1283" s="8"/>
      <c r="BZ1283" s="8"/>
      <c r="CA1283" s="8"/>
      <c r="CB1283" s="8"/>
      <c r="CC1283" s="8"/>
      <c r="CD1283" s="8"/>
      <c r="CE1283" s="8"/>
      <c r="CF1283" s="8"/>
      <c r="CG1283" s="8"/>
      <c r="CH1283" s="8"/>
      <c r="CI1283" s="8"/>
      <c r="CJ1283" s="8"/>
      <c r="CK1283" s="8"/>
      <c r="CL1283" s="8"/>
      <c r="CM1283" s="8"/>
      <c r="CN1283" s="8"/>
      <c r="CO1283" s="8"/>
      <c r="CP1283" s="8"/>
      <c r="CQ1283" s="8"/>
      <c r="CR1283" s="8"/>
      <c r="CS1283" s="8"/>
      <c r="CT1283" s="8"/>
      <c r="CU1283" s="8"/>
      <c r="CV1283" s="8"/>
      <c r="CW1283" s="8"/>
      <c r="CX1283" s="8"/>
      <c r="CY1283" s="8"/>
      <c r="CZ1283" s="8"/>
      <c r="DA1283" s="8"/>
      <c r="DB1283" s="8"/>
      <c r="DC1283" s="8"/>
      <c r="DD1283" s="8"/>
      <c r="DE1283" s="8"/>
      <c r="DF1283" s="8"/>
      <c r="DG1283" s="8"/>
      <c r="DH1283" s="8"/>
      <c r="DI1283" s="8"/>
      <c r="DJ1283" s="8"/>
      <c r="DK1283" s="8"/>
      <c r="DL1283" s="8"/>
      <c r="DM1283" s="8"/>
      <c r="DN1283" s="8"/>
      <c r="DO1283" s="8"/>
      <c r="DP1283" s="8"/>
      <c r="DQ1283" s="8"/>
      <c r="DR1283" s="8"/>
      <c r="DS1283" s="8"/>
      <c r="DT1283" s="8"/>
      <c r="DU1283" s="8"/>
      <c r="DV1283" s="8"/>
      <c r="DW1283" s="8"/>
      <c r="DX1283" s="8"/>
      <c r="DY1283" s="8"/>
      <c r="DZ1283" s="8"/>
      <c r="EA1283" s="8"/>
      <c r="EB1283" s="8"/>
      <c r="EC1283" s="8"/>
      <c r="ED1283" s="8"/>
      <c r="EE1283" s="8"/>
      <c r="EF1283" s="8"/>
      <c r="EG1283" s="8"/>
      <c r="EH1283" s="8"/>
      <c r="EI1283" s="8"/>
      <c r="EJ1283" s="8"/>
      <c r="EK1283" s="8"/>
      <c r="EL1283" s="8"/>
      <c r="EM1283" s="8"/>
      <c r="EN1283" s="8"/>
      <c r="EO1283" s="8"/>
      <c r="EP1283" s="8"/>
      <c r="EQ1283" s="8"/>
      <c r="ER1283" s="8"/>
      <c r="ES1283" s="8"/>
      <c r="ET1283" s="8"/>
      <c r="EU1283" s="8"/>
      <c r="EV1283" s="8"/>
      <c r="EW1283" s="8"/>
      <c r="EX1283" s="8"/>
      <c r="EY1283" s="8"/>
      <c r="EZ1283" s="8"/>
      <c r="FA1283" s="8"/>
      <c r="FB1283" s="8"/>
      <c r="FC1283" s="8"/>
      <c r="FD1283" s="8"/>
      <c r="FE1283" s="8"/>
      <c r="FF1283" s="8"/>
      <c r="FG1283" s="8"/>
      <c r="FH1283" s="8"/>
      <c r="FI1283" s="8"/>
      <c r="FJ1283" s="8"/>
      <c r="FK1283" s="8"/>
      <c r="FL1283" s="8"/>
      <c r="FM1283" s="8"/>
      <c r="FN1283" s="8"/>
      <c r="FO1283" s="8"/>
      <c r="FP1283" s="8"/>
      <c r="FQ1283" s="8"/>
      <c r="FR1283" s="8"/>
      <c r="FS1283" s="8"/>
      <c r="FT1283" s="8"/>
      <c r="FU1283" s="8"/>
      <c r="FV1283" s="8"/>
      <c r="FW1283" s="8"/>
      <c r="FX1283" s="8"/>
      <c r="FY1283" s="8"/>
      <c r="FZ1283" s="8"/>
      <c r="GA1283" s="8"/>
      <c r="GB1283" s="8"/>
      <c r="GC1283" s="8"/>
      <c r="GD1283" s="8"/>
      <c r="GE1283" s="8"/>
      <c r="GF1283" s="8"/>
      <c r="GG1283" s="8"/>
      <c r="GH1283" s="8"/>
      <c r="GI1283" s="8"/>
      <c r="GJ1283" s="8"/>
      <c r="GK1283" s="8"/>
      <c r="GL1283" s="8"/>
      <c r="GM1283" s="8"/>
      <c r="GN1283" s="8"/>
      <c r="GO1283" s="8"/>
      <c r="GP1283" s="8"/>
      <c r="GQ1283" s="8"/>
      <c r="GR1283" s="8"/>
      <c r="GS1283" s="8"/>
      <c r="GT1283" s="8"/>
      <c r="GU1283" s="8"/>
      <c r="GV1283" s="8"/>
      <c r="GW1283" s="8"/>
      <c r="GX1283" s="8"/>
      <c r="GY1283" s="8"/>
      <c r="GZ1283" s="8"/>
      <c r="HA1283" s="8"/>
      <c r="HB1283" s="8"/>
      <c r="HC1283" s="8"/>
      <c r="HD1283" s="8"/>
      <c r="HE1283" s="8"/>
      <c r="HF1283" s="8"/>
      <c r="HG1283" s="8"/>
      <c r="HH1283" s="8"/>
      <c r="HI1283" s="8"/>
      <c r="HJ1283" s="8"/>
      <c r="HK1283" s="8"/>
      <c r="HL1283" s="8"/>
      <c r="HM1283" s="8"/>
      <c r="HN1283" s="8"/>
      <c r="HO1283" s="8"/>
      <c r="HP1283" s="8"/>
      <c r="HQ1283" s="8"/>
      <c r="HR1283" s="8"/>
      <c r="HS1283" s="8"/>
      <c r="HT1283" s="8"/>
      <c r="HU1283" s="8"/>
      <c r="HV1283" s="8"/>
      <c r="HW1283" s="8"/>
      <c r="HX1283" s="8"/>
      <c r="HY1283" s="8"/>
      <c r="HZ1283" s="8"/>
      <c r="IA1283" s="8"/>
      <c r="IB1283" s="8"/>
      <c r="IC1283" s="8"/>
      <c r="ID1283" s="8"/>
      <c r="IE1283" s="8"/>
      <c r="IF1283" s="8"/>
    </row>
    <row r="1284" spans="1:240" ht="30" customHeight="1">
      <c r="A1284" s="5">
        <v>1282</v>
      </c>
      <c r="B1284" s="5"/>
      <c r="C1284" s="5"/>
      <c r="D1284" s="5" t="s">
        <v>68</v>
      </c>
      <c r="E1284" s="5">
        <v>900</v>
      </c>
      <c r="F1284" s="5">
        <v>900</v>
      </c>
      <c r="G1284" s="5">
        <v>2590</v>
      </c>
      <c r="H1284" s="5">
        <v>250</v>
      </c>
      <c r="I1284" s="5" t="s">
        <v>13</v>
      </c>
      <c r="J1284" s="15">
        <f>4*15/4.4</f>
        <v>13.636363636363635</v>
      </c>
      <c r="K1284" s="17">
        <f t="shared" si="38"/>
        <v>4.1670000000000016</v>
      </c>
      <c r="L1284" s="15">
        <f>15*3782*4.1868/3600</f>
        <v>65.976990000000001</v>
      </c>
      <c r="M1284" s="5">
        <f t="shared" si="39"/>
        <v>3.8890000000000029</v>
      </c>
      <c r="N1284" s="5"/>
      <c r="O1284" s="5">
        <f>3800*1.6978*R1284</f>
        <v>6451.64</v>
      </c>
      <c r="P1284" s="5"/>
      <c r="Q1284" s="5"/>
      <c r="R1284" s="5">
        <v>1</v>
      </c>
      <c r="S1284" s="5">
        <v>700</v>
      </c>
      <c r="T1284" s="5"/>
      <c r="U1284" s="5">
        <v>1400</v>
      </c>
      <c r="V1284" s="15">
        <f>0.7457*1*R1284</f>
        <v>0.74570000000000003</v>
      </c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8"/>
      <c r="BS1284" s="8"/>
      <c r="BT1284" s="8"/>
      <c r="BU1284" s="8"/>
      <c r="BV1284" s="8"/>
      <c r="BW1284" s="8"/>
      <c r="BX1284" s="8"/>
      <c r="BY1284" s="8"/>
      <c r="BZ1284" s="8"/>
      <c r="CA1284" s="8"/>
      <c r="CB1284" s="8"/>
      <c r="CC1284" s="8"/>
      <c r="CD1284" s="8"/>
      <c r="CE1284" s="8"/>
      <c r="CF1284" s="8"/>
      <c r="CG1284" s="8"/>
      <c r="CH1284" s="8"/>
      <c r="CI1284" s="8"/>
      <c r="CJ1284" s="8"/>
      <c r="CK1284" s="8"/>
      <c r="CL1284" s="8"/>
      <c r="CM1284" s="8"/>
      <c r="CN1284" s="8"/>
      <c r="CO1284" s="8"/>
      <c r="CP1284" s="8"/>
      <c r="CQ1284" s="8"/>
      <c r="CR1284" s="8"/>
      <c r="CS1284" s="8"/>
      <c r="CT1284" s="8"/>
      <c r="CU1284" s="8"/>
      <c r="CV1284" s="8"/>
      <c r="CW1284" s="8"/>
      <c r="CX1284" s="8"/>
      <c r="CY1284" s="8"/>
      <c r="CZ1284" s="8"/>
      <c r="DA1284" s="8"/>
      <c r="DB1284" s="8"/>
      <c r="DC1284" s="8"/>
      <c r="DD1284" s="8"/>
      <c r="DE1284" s="8"/>
      <c r="DF1284" s="8"/>
      <c r="DG1284" s="8"/>
      <c r="DH1284" s="8"/>
      <c r="DI1284" s="8"/>
      <c r="DJ1284" s="8"/>
      <c r="DK1284" s="8"/>
      <c r="DL1284" s="8"/>
      <c r="DM1284" s="8"/>
      <c r="DN1284" s="8"/>
      <c r="DO1284" s="8"/>
      <c r="DP1284" s="8"/>
      <c r="DQ1284" s="8"/>
      <c r="DR1284" s="8"/>
      <c r="DS1284" s="8"/>
      <c r="DT1284" s="8"/>
      <c r="DU1284" s="8"/>
      <c r="DV1284" s="8"/>
      <c r="DW1284" s="8"/>
      <c r="DX1284" s="8"/>
      <c r="DY1284" s="8"/>
      <c r="DZ1284" s="8"/>
      <c r="EA1284" s="8"/>
      <c r="EB1284" s="8"/>
      <c r="EC1284" s="8"/>
      <c r="ED1284" s="8"/>
      <c r="EE1284" s="8"/>
      <c r="EF1284" s="8"/>
      <c r="EG1284" s="8"/>
      <c r="EH1284" s="8"/>
      <c r="EI1284" s="8"/>
      <c r="EJ1284" s="8"/>
      <c r="EK1284" s="8"/>
      <c r="EL1284" s="8"/>
      <c r="EM1284" s="8"/>
      <c r="EN1284" s="8"/>
      <c r="EO1284" s="8"/>
      <c r="EP1284" s="8"/>
      <c r="EQ1284" s="8"/>
      <c r="ER1284" s="8"/>
      <c r="ES1284" s="8"/>
      <c r="ET1284" s="8"/>
      <c r="EU1284" s="8"/>
      <c r="EV1284" s="8"/>
      <c r="EW1284" s="8"/>
      <c r="EX1284" s="8"/>
      <c r="EY1284" s="8"/>
      <c r="EZ1284" s="8"/>
      <c r="FA1284" s="8"/>
      <c r="FB1284" s="8"/>
      <c r="FC1284" s="8"/>
      <c r="FD1284" s="8"/>
      <c r="FE1284" s="8"/>
      <c r="FF1284" s="8"/>
      <c r="FG1284" s="8"/>
      <c r="FH1284" s="8"/>
      <c r="FI1284" s="8"/>
      <c r="FJ1284" s="8"/>
      <c r="FK1284" s="8"/>
      <c r="FL1284" s="8"/>
      <c r="FM1284" s="8"/>
      <c r="FN1284" s="8"/>
      <c r="FO1284" s="8"/>
      <c r="FP1284" s="8"/>
      <c r="FQ1284" s="8"/>
      <c r="FR1284" s="8"/>
      <c r="FS1284" s="8"/>
      <c r="FT1284" s="8"/>
      <c r="FU1284" s="8"/>
      <c r="FV1284" s="8"/>
      <c r="FW1284" s="8"/>
      <c r="FX1284" s="8"/>
      <c r="FY1284" s="8"/>
      <c r="FZ1284" s="8"/>
      <c r="GA1284" s="8"/>
      <c r="GB1284" s="8"/>
      <c r="GC1284" s="8"/>
      <c r="GD1284" s="8"/>
      <c r="GE1284" s="8"/>
      <c r="GF1284" s="8"/>
      <c r="GG1284" s="8"/>
      <c r="GH1284" s="8"/>
      <c r="GI1284" s="8"/>
      <c r="GJ1284" s="8"/>
      <c r="GK1284" s="8"/>
      <c r="GL1284" s="8"/>
      <c r="GM1284" s="8"/>
      <c r="GN1284" s="8"/>
      <c r="GO1284" s="8"/>
      <c r="GP1284" s="8"/>
      <c r="GQ1284" s="8"/>
      <c r="GR1284" s="8"/>
      <c r="GS1284" s="8"/>
      <c r="GT1284" s="8"/>
      <c r="GU1284" s="8"/>
      <c r="GV1284" s="8"/>
      <c r="GW1284" s="8"/>
      <c r="GX1284" s="8"/>
      <c r="GY1284" s="8"/>
      <c r="GZ1284" s="8"/>
      <c r="HA1284" s="8"/>
      <c r="HB1284" s="8"/>
      <c r="HC1284" s="8"/>
      <c r="HD1284" s="8"/>
      <c r="HE1284" s="8"/>
      <c r="HF1284" s="8"/>
      <c r="HG1284" s="8"/>
      <c r="HH1284" s="8"/>
      <c r="HI1284" s="8"/>
      <c r="HJ1284" s="8"/>
      <c r="HK1284" s="8"/>
      <c r="HL1284" s="8"/>
      <c r="HM1284" s="8"/>
      <c r="HN1284" s="8"/>
      <c r="HO1284" s="8"/>
      <c r="HP1284" s="8"/>
      <c r="HQ1284" s="8"/>
      <c r="HR1284" s="8"/>
      <c r="HS1284" s="8"/>
      <c r="HT1284" s="8"/>
      <c r="HU1284" s="8"/>
      <c r="HV1284" s="8"/>
      <c r="HW1284" s="8"/>
      <c r="HX1284" s="8"/>
      <c r="HY1284" s="8"/>
      <c r="HZ1284" s="8"/>
      <c r="IA1284" s="8"/>
      <c r="IB1284" s="8"/>
      <c r="IC1284" s="8"/>
      <c r="ID1284" s="8"/>
      <c r="IE1284" s="8"/>
      <c r="IF1284" s="8"/>
    </row>
    <row r="1285" spans="1:240" ht="30" customHeight="1">
      <c r="A1285" s="5">
        <v>1283</v>
      </c>
      <c r="B1285" s="5"/>
      <c r="C1285" s="5"/>
      <c r="D1285" s="5" t="s">
        <v>68</v>
      </c>
      <c r="E1285" s="5">
        <v>1200</v>
      </c>
      <c r="F1285" s="5">
        <v>900</v>
      </c>
      <c r="G1285" s="5">
        <v>2590</v>
      </c>
      <c r="H1285" s="5">
        <v>325</v>
      </c>
      <c r="I1285" s="5" t="s">
        <v>13</v>
      </c>
      <c r="J1285" s="15">
        <f>4*20/4.4</f>
        <v>18.18181818181818</v>
      </c>
      <c r="K1285" s="17">
        <f t="shared" si="38"/>
        <v>4.1670000000000016</v>
      </c>
      <c r="L1285" s="15">
        <f>20*3782*4.1868/3600</f>
        <v>87.969319999999996</v>
      </c>
      <c r="M1285" s="5">
        <f t="shared" si="39"/>
        <v>3.8890000000000029</v>
      </c>
      <c r="N1285" s="5"/>
      <c r="O1285" s="5">
        <f>5000*1.6978*R1285</f>
        <v>8489</v>
      </c>
      <c r="P1285" s="5"/>
      <c r="Q1285" s="5"/>
      <c r="R1285" s="5">
        <v>1</v>
      </c>
      <c r="S1285" s="5">
        <v>700</v>
      </c>
      <c r="T1285" s="5"/>
      <c r="U1285" s="5">
        <v>1400</v>
      </c>
      <c r="V1285" s="15">
        <f>0.7457*1.5*R1285</f>
        <v>1.1185499999999999</v>
      </c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8"/>
      <c r="AP1285" s="8"/>
      <c r="AQ1285" s="8"/>
      <c r="AR1285" s="8"/>
      <c r="AS1285" s="8"/>
      <c r="AT1285" s="8"/>
      <c r="AU1285" s="8"/>
      <c r="AV1285" s="8"/>
      <c r="AW1285" s="8"/>
      <c r="AX1285" s="8"/>
      <c r="AY1285" s="8"/>
      <c r="AZ1285" s="8"/>
      <c r="BA1285" s="8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8"/>
      <c r="BS1285" s="8"/>
      <c r="BT1285" s="8"/>
      <c r="BU1285" s="8"/>
      <c r="BV1285" s="8"/>
      <c r="BW1285" s="8"/>
      <c r="BX1285" s="8"/>
      <c r="BY1285" s="8"/>
      <c r="BZ1285" s="8"/>
      <c r="CA1285" s="8"/>
      <c r="CB1285" s="8"/>
      <c r="CC1285" s="8"/>
      <c r="CD1285" s="8"/>
      <c r="CE1285" s="8"/>
      <c r="CF1285" s="8"/>
      <c r="CG1285" s="8"/>
      <c r="CH1285" s="8"/>
      <c r="CI1285" s="8"/>
      <c r="CJ1285" s="8"/>
      <c r="CK1285" s="8"/>
      <c r="CL1285" s="8"/>
      <c r="CM1285" s="8"/>
      <c r="CN1285" s="8"/>
      <c r="CO1285" s="8"/>
      <c r="CP1285" s="8"/>
      <c r="CQ1285" s="8"/>
      <c r="CR1285" s="8"/>
      <c r="CS1285" s="8"/>
      <c r="CT1285" s="8"/>
      <c r="CU1285" s="8"/>
      <c r="CV1285" s="8"/>
      <c r="CW1285" s="8"/>
      <c r="CX1285" s="8"/>
      <c r="CY1285" s="8"/>
      <c r="CZ1285" s="8"/>
      <c r="DA1285" s="8"/>
      <c r="DB1285" s="8"/>
      <c r="DC1285" s="8"/>
      <c r="DD1285" s="8"/>
      <c r="DE1285" s="8"/>
      <c r="DF1285" s="8"/>
      <c r="DG1285" s="8"/>
      <c r="DH1285" s="8"/>
      <c r="DI1285" s="8"/>
      <c r="DJ1285" s="8"/>
      <c r="DK1285" s="8"/>
      <c r="DL1285" s="8"/>
      <c r="DM1285" s="8"/>
      <c r="DN1285" s="8"/>
      <c r="DO1285" s="8"/>
      <c r="DP1285" s="8"/>
      <c r="DQ1285" s="8"/>
      <c r="DR1285" s="8"/>
      <c r="DS1285" s="8"/>
      <c r="DT1285" s="8"/>
      <c r="DU1285" s="8"/>
      <c r="DV1285" s="8"/>
      <c r="DW1285" s="8"/>
      <c r="DX1285" s="8"/>
      <c r="DY1285" s="8"/>
      <c r="DZ1285" s="8"/>
      <c r="EA1285" s="8"/>
      <c r="EB1285" s="8"/>
      <c r="EC1285" s="8"/>
      <c r="ED1285" s="8"/>
      <c r="EE1285" s="8"/>
      <c r="EF1285" s="8"/>
      <c r="EG1285" s="8"/>
      <c r="EH1285" s="8"/>
      <c r="EI1285" s="8"/>
      <c r="EJ1285" s="8"/>
      <c r="EK1285" s="8"/>
      <c r="EL1285" s="8"/>
      <c r="EM1285" s="8"/>
      <c r="EN1285" s="8"/>
      <c r="EO1285" s="8"/>
      <c r="EP1285" s="8"/>
      <c r="EQ1285" s="8"/>
      <c r="ER1285" s="8"/>
      <c r="ES1285" s="8"/>
      <c r="ET1285" s="8"/>
      <c r="EU1285" s="8"/>
      <c r="EV1285" s="8"/>
      <c r="EW1285" s="8"/>
      <c r="EX1285" s="8"/>
      <c r="EY1285" s="8"/>
      <c r="EZ1285" s="8"/>
      <c r="FA1285" s="8"/>
      <c r="FB1285" s="8"/>
      <c r="FC1285" s="8"/>
      <c r="FD1285" s="8"/>
      <c r="FE1285" s="8"/>
      <c r="FF1285" s="8"/>
      <c r="FG1285" s="8"/>
      <c r="FH1285" s="8"/>
      <c r="FI1285" s="8"/>
      <c r="FJ1285" s="8"/>
      <c r="FK1285" s="8"/>
      <c r="FL1285" s="8"/>
      <c r="FM1285" s="8"/>
      <c r="FN1285" s="8"/>
      <c r="FO1285" s="8"/>
      <c r="FP1285" s="8"/>
      <c r="FQ1285" s="8"/>
      <c r="FR1285" s="8"/>
      <c r="FS1285" s="8"/>
      <c r="FT1285" s="8"/>
      <c r="FU1285" s="8"/>
      <c r="FV1285" s="8"/>
      <c r="FW1285" s="8"/>
      <c r="FX1285" s="8"/>
      <c r="FY1285" s="8"/>
      <c r="FZ1285" s="8"/>
      <c r="GA1285" s="8"/>
      <c r="GB1285" s="8"/>
      <c r="GC1285" s="8"/>
      <c r="GD1285" s="8"/>
      <c r="GE1285" s="8"/>
      <c r="GF1285" s="8"/>
      <c r="GG1285" s="8"/>
      <c r="GH1285" s="8"/>
      <c r="GI1285" s="8"/>
      <c r="GJ1285" s="8"/>
      <c r="GK1285" s="8"/>
      <c r="GL1285" s="8"/>
      <c r="GM1285" s="8"/>
      <c r="GN1285" s="8"/>
      <c r="GO1285" s="8"/>
      <c r="GP1285" s="8"/>
      <c r="GQ1285" s="8"/>
      <c r="GR1285" s="8"/>
      <c r="GS1285" s="8"/>
      <c r="GT1285" s="8"/>
      <c r="GU1285" s="8"/>
      <c r="GV1285" s="8"/>
      <c r="GW1285" s="8"/>
      <c r="GX1285" s="8"/>
      <c r="GY1285" s="8"/>
      <c r="GZ1285" s="8"/>
      <c r="HA1285" s="8"/>
      <c r="HB1285" s="8"/>
      <c r="HC1285" s="8"/>
      <c r="HD1285" s="8"/>
      <c r="HE1285" s="8"/>
      <c r="HF1285" s="8"/>
      <c r="HG1285" s="8"/>
      <c r="HH1285" s="8"/>
      <c r="HI1285" s="8"/>
      <c r="HJ1285" s="8"/>
      <c r="HK1285" s="8"/>
      <c r="HL1285" s="8"/>
      <c r="HM1285" s="8"/>
      <c r="HN1285" s="8"/>
      <c r="HO1285" s="8"/>
      <c r="HP1285" s="8"/>
      <c r="HQ1285" s="8"/>
      <c r="HR1285" s="8"/>
      <c r="HS1285" s="8"/>
      <c r="HT1285" s="8"/>
      <c r="HU1285" s="8"/>
      <c r="HV1285" s="8"/>
      <c r="HW1285" s="8"/>
      <c r="HX1285" s="8"/>
      <c r="HY1285" s="8"/>
      <c r="HZ1285" s="8"/>
      <c r="IA1285" s="8"/>
      <c r="IB1285" s="8"/>
      <c r="IC1285" s="8"/>
      <c r="ID1285" s="8"/>
      <c r="IE1285" s="8"/>
      <c r="IF1285" s="8"/>
    </row>
    <row r="1286" spans="1:240" ht="30" customHeight="1">
      <c r="A1286" s="5">
        <v>1284</v>
      </c>
      <c r="B1286" s="5"/>
      <c r="C1286" s="5"/>
      <c r="D1286" s="5" t="s">
        <v>68</v>
      </c>
      <c r="E1286" s="5">
        <v>1200</v>
      </c>
      <c r="F1286" s="5">
        <v>1200</v>
      </c>
      <c r="G1286" s="5">
        <v>2590</v>
      </c>
      <c r="H1286" s="5">
        <v>415</v>
      </c>
      <c r="I1286" s="5" t="s">
        <v>13</v>
      </c>
      <c r="J1286" s="15">
        <f>4*25/4.4</f>
        <v>22.727272727272727</v>
      </c>
      <c r="K1286" s="17">
        <f t="shared" si="38"/>
        <v>4.1670000000000016</v>
      </c>
      <c r="L1286" s="15">
        <f>25*3782*4.1868/3600</f>
        <v>109.96165000000001</v>
      </c>
      <c r="M1286" s="5">
        <f t="shared" si="39"/>
        <v>3.8890000000000029</v>
      </c>
      <c r="N1286" s="5"/>
      <c r="O1286" s="5">
        <f>6780*1.6978*R1286</f>
        <v>11511.084000000001</v>
      </c>
      <c r="P1286" s="5"/>
      <c r="Q1286" s="5"/>
      <c r="R1286" s="5">
        <v>1</v>
      </c>
      <c r="S1286" s="5">
        <v>700</v>
      </c>
      <c r="T1286" s="5"/>
      <c r="U1286" s="5">
        <v>1400</v>
      </c>
      <c r="V1286" s="15">
        <f>0.7457*1.5*R1286</f>
        <v>1.1185499999999999</v>
      </c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8"/>
      <c r="BS1286" s="8"/>
      <c r="BT1286" s="8"/>
      <c r="BU1286" s="8"/>
      <c r="BV1286" s="8"/>
      <c r="BW1286" s="8"/>
      <c r="BX1286" s="8"/>
      <c r="BY1286" s="8"/>
      <c r="BZ1286" s="8"/>
      <c r="CA1286" s="8"/>
      <c r="CB1286" s="8"/>
      <c r="CC1286" s="8"/>
      <c r="CD1286" s="8"/>
      <c r="CE1286" s="8"/>
      <c r="CF1286" s="8"/>
      <c r="CG1286" s="8"/>
      <c r="CH1286" s="8"/>
      <c r="CI1286" s="8"/>
      <c r="CJ1286" s="8"/>
      <c r="CK1286" s="8"/>
      <c r="CL1286" s="8"/>
      <c r="CM1286" s="8"/>
      <c r="CN1286" s="8"/>
      <c r="CO1286" s="8"/>
      <c r="CP1286" s="8"/>
      <c r="CQ1286" s="8"/>
      <c r="CR1286" s="8"/>
      <c r="CS1286" s="8"/>
      <c r="CT1286" s="8"/>
      <c r="CU1286" s="8"/>
      <c r="CV1286" s="8"/>
      <c r="CW1286" s="8"/>
      <c r="CX1286" s="8"/>
      <c r="CY1286" s="8"/>
      <c r="CZ1286" s="8"/>
      <c r="DA1286" s="8"/>
      <c r="DB1286" s="8"/>
      <c r="DC1286" s="8"/>
      <c r="DD1286" s="8"/>
      <c r="DE1286" s="8"/>
      <c r="DF1286" s="8"/>
      <c r="DG1286" s="8"/>
      <c r="DH1286" s="8"/>
      <c r="DI1286" s="8"/>
      <c r="DJ1286" s="8"/>
      <c r="DK1286" s="8"/>
      <c r="DL1286" s="8"/>
      <c r="DM1286" s="8"/>
      <c r="DN1286" s="8"/>
      <c r="DO1286" s="8"/>
      <c r="DP1286" s="8"/>
      <c r="DQ1286" s="8"/>
      <c r="DR1286" s="8"/>
      <c r="DS1286" s="8"/>
      <c r="DT1286" s="8"/>
      <c r="DU1286" s="8"/>
      <c r="DV1286" s="8"/>
      <c r="DW1286" s="8"/>
      <c r="DX1286" s="8"/>
      <c r="DY1286" s="8"/>
      <c r="DZ1286" s="8"/>
      <c r="EA1286" s="8"/>
      <c r="EB1286" s="8"/>
      <c r="EC1286" s="8"/>
      <c r="ED1286" s="8"/>
      <c r="EE1286" s="8"/>
      <c r="EF1286" s="8"/>
      <c r="EG1286" s="8"/>
      <c r="EH1286" s="8"/>
      <c r="EI1286" s="8"/>
      <c r="EJ1286" s="8"/>
      <c r="EK1286" s="8"/>
      <c r="EL1286" s="8"/>
      <c r="EM1286" s="8"/>
      <c r="EN1286" s="8"/>
      <c r="EO1286" s="8"/>
      <c r="EP1286" s="8"/>
      <c r="EQ1286" s="8"/>
      <c r="ER1286" s="8"/>
      <c r="ES1286" s="8"/>
      <c r="ET1286" s="8"/>
      <c r="EU1286" s="8"/>
      <c r="EV1286" s="8"/>
      <c r="EW1286" s="8"/>
      <c r="EX1286" s="8"/>
      <c r="EY1286" s="8"/>
      <c r="EZ1286" s="8"/>
      <c r="FA1286" s="8"/>
      <c r="FB1286" s="8"/>
      <c r="FC1286" s="8"/>
      <c r="FD1286" s="8"/>
      <c r="FE1286" s="8"/>
      <c r="FF1286" s="8"/>
      <c r="FG1286" s="8"/>
      <c r="FH1286" s="8"/>
      <c r="FI1286" s="8"/>
      <c r="FJ1286" s="8"/>
      <c r="FK1286" s="8"/>
      <c r="FL1286" s="8"/>
      <c r="FM1286" s="8"/>
      <c r="FN1286" s="8"/>
      <c r="FO1286" s="8"/>
      <c r="FP1286" s="8"/>
      <c r="FQ1286" s="8"/>
      <c r="FR1286" s="8"/>
      <c r="FS1286" s="8"/>
      <c r="FT1286" s="8"/>
      <c r="FU1286" s="8"/>
      <c r="FV1286" s="8"/>
      <c r="FW1286" s="8"/>
      <c r="FX1286" s="8"/>
      <c r="FY1286" s="8"/>
      <c r="FZ1286" s="8"/>
      <c r="GA1286" s="8"/>
      <c r="GB1286" s="8"/>
      <c r="GC1286" s="8"/>
      <c r="GD1286" s="8"/>
      <c r="GE1286" s="8"/>
      <c r="GF1286" s="8"/>
      <c r="GG1286" s="8"/>
      <c r="GH1286" s="8"/>
      <c r="GI1286" s="8"/>
      <c r="GJ1286" s="8"/>
      <c r="GK1286" s="8"/>
      <c r="GL1286" s="8"/>
      <c r="GM1286" s="8"/>
      <c r="GN1286" s="8"/>
      <c r="GO1286" s="8"/>
      <c r="GP1286" s="8"/>
      <c r="GQ1286" s="8"/>
      <c r="GR1286" s="8"/>
      <c r="GS1286" s="8"/>
      <c r="GT1286" s="8"/>
      <c r="GU1286" s="8"/>
      <c r="GV1286" s="8"/>
      <c r="GW1286" s="8"/>
      <c r="GX1286" s="8"/>
      <c r="GY1286" s="8"/>
      <c r="GZ1286" s="8"/>
      <c r="HA1286" s="8"/>
      <c r="HB1286" s="8"/>
      <c r="HC1286" s="8"/>
      <c r="HD1286" s="8"/>
      <c r="HE1286" s="8"/>
      <c r="HF1286" s="8"/>
      <c r="HG1286" s="8"/>
      <c r="HH1286" s="8"/>
      <c r="HI1286" s="8"/>
      <c r="HJ1286" s="8"/>
      <c r="HK1286" s="8"/>
      <c r="HL1286" s="8"/>
      <c r="HM1286" s="8"/>
      <c r="HN1286" s="8"/>
      <c r="HO1286" s="8"/>
      <c r="HP1286" s="8"/>
      <c r="HQ1286" s="8"/>
      <c r="HR1286" s="8"/>
      <c r="HS1286" s="8"/>
      <c r="HT1286" s="8"/>
      <c r="HU1286" s="8"/>
      <c r="HV1286" s="8"/>
      <c r="HW1286" s="8"/>
      <c r="HX1286" s="8"/>
      <c r="HY1286" s="8"/>
      <c r="HZ1286" s="8"/>
      <c r="IA1286" s="8"/>
      <c r="IB1286" s="8"/>
      <c r="IC1286" s="8"/>
      <c r="ID1286" s="8"/>
      <c r="IE1286" s="8"/>
      <c r="IF1286" s="8"/>
    </row>
    <row r="1287" spans="1:240" ht="30" customHeight="1">
      <c r="A1287" s="5">
        <v>1285</v>
      </c>
      <c r="B1287" s="5"/>
      <c r="C1287" s="5"/>
      <c r="D1287" s="5" t="s">
        <v>68</v>
      </c>
      <c r="E1287" s="5">
        <v>1350</v>
      </c>
      <c r="F1287" s="5">
        <v>1200</v>
      </c>
      <c r="G1287" s="5">
        <v>2590</v>
      </c>
      <c r="H1287" s="5">
        <v>475</v>
      </c>
      <c r="I1287" s="5" t="s">
        <v>13</v>
      </c>
      <c r="J1287" s="15">
        <f>4*30/4.4</f>
        <v>27.27272727272727</v>
      </c>
      <c r="K1287" s="17">
        <f t="shared" si="38"/>
        <v>4.1670000000000016</v>
      </c>
      <c r="L1287" s="15">
        <f>30*3782*4.1868/3600</f>
        <v>131.95398</v>
      </c>
      <c r="M1287" s="5">
        <f t="shared" si="39"/>
        <v>3.8890000000000029</v>
      </c>
      <c r="N1287" s="5"/>
      <c r="O1287" s="5">
        <f>7500*1.6978*R1287</f>
        <v>12733.5</v>
      </c>
      <c r="P1287" s="5"/>
      <c r="Q1287" s="5"/>
      <c r="R1287" s="5">
        <v>1</v>
      </c>
      <c r="S1287" s="5">
        <v>700</v>
      </c>
      <c r="T1287" s="5"/>
      <c r="U1287" s="5">
        <v>1400</v>
      </c>
      <c r="V1287" s="15">
        <f>0.7457*2*R1287</f>
        <v>1.4914000000000001</v>
      </c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8"/>
      <c r="AP1287" s="8"/>
      <c r="AQ1287" s="8"/>
      <c r="AR1287" s="8"/>
      <c r="AS1287" s="8"/>
      <c r="AT1287" s="8"/>
      <c r="AU1287" s="8"/>
      <c r="AV1287" s="8"/>
      <c r="AW1287" s="8"/>
      <c r="AX1287" s="8"/>
      <c r="AY1287" s="8"/>
      <c r="AZ1287" s="8"/>
      <c r="BA1287" s="8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8"/>
      <c r="BS1287" s="8"/>
      <c r="BT1287" s="8"/>
      <c r="BU1287" s="8"/>
      <c r="BV1287" s="8"/>
      <c r="BW1287" s="8"/>
      <c r="BX1287" s="8"/>
      <c r="BY1287" s="8"/>
      <c r="BZ1287" s="8"/>
      <c r="CA1287" s="8"/>
      <c r="CB1287" s="8"/>
      <c r="CC1287" s="8"/>
      <c r="CD1287" s="8"/>
      <c r="CE1287" s="8"/>
      <c r="CF1287" s="8"/>
      <c r="CG1287" s="8"/>
      <c r="CH1287" s="8"/>
      <c r="CI1287" s="8"/>
      <c r="CJ1287" s="8"/>
      <c r="CK1287" s="8"/>
      <c r="CL1287" s="8"/>
      <c r="CM1287" s="8"/>
      <c r="CN1287" s="8"/>
      <c r="CO1287" s="8"/>
      <c r="CP1287" s="8"/>
      <c r="CQ1287" s="8"/>
      <c r="CR1287" s="8"/>
      <c r="CS1287" s="8"/>
      <c r="CT1287" s="8"/>
      <c r="CU1287" s="8"/>
      <c r="CV1287" s="8"/>
      <c r="CW1287" s="8"/>
      <c r="CX1287" s="8"/>
      <c r="CY1287" s="8"/>
      <c r="CZ1287" s="8"/>
      <c r="DA1287" s="8"/>
      <c r="DB1287" s="8"/>
      <c r="DC1287" s="8"/>
      <c r="DD1287" s="8"/>
      <c r="DE1287" s="8"/>
      <c r="DF1287" s="8"/>
      <c r="DG1287" s="8"/>
      <c r="DH1287" s="8"/>
      <c r="DI1287" s="8"/>
      <c r="DJ1287" s="8"/>
      <c r="DK1287" s="8"/>
      <c r="DL1287" s="8"/>
      <c r="DM1287" s="8"/>
      <c r="DN1287" s="8"/>
      <c r="DO1287" s="8"/>
      <c r="DP1287" s="8"/>
      <c r="DQ1287" s="8"/>
      <c r="DR1287" s="8"/>
      <c r="DS1287" s="8"/>
      <c r="DT1287" s="8"/>
      <c r="DU1287" s="8"/>
      <c r="DV1287" s="8"/>
      <c r="DW1287" s="8"/>
      <c r="DX1287" s="8"/>
      <c r="DY1287" s="8"/>
      <c r="DZ1287" s="8"/>
      <c r="EA1287" s="8"/>
      <c r="EB1287" s="8"/>
      <c r="EC1287" s="8"/>
      <c r="ED1287" s="8"/>
      <c r="EE1287" s="8"/>
      <c r="EF1287" s="8"/>
      <c r="EG1287" s="8"/>
      <c r="EH1287" s="8"/>
      <c r="EI1287" s="8"/>
      <c r="EJ1287" s="8"/>
      <c r="EK1287" s="8"/>
      <c r="EL1287" s="8"/>
      <c r="EM1287" s="8"/>
      <c r="EN1287" s="8"/>
      <c r="EO1287" s="8"/>
      <c r="EP1287" s="8"/>
      <c r="EQ1287" s="8"/>
      <c r="ER1287" s="8"/>
      <c r="ES1287" s="8"/>
      <c r="ET1287" s="8"/>
      <c r="EU1287" s="8"/>
      <c r="EV1287" s="8"/>
      <c r="EW1287" s="8"/>
      <c r="EX1287" s="8"/>
      <c r="EY1287" s="8"/>
      <c r="EZ1287" s="8"/>
      <c r="FA1287" s="8"/>
      <c r="FB1287" s="8"/>
      <c r="FC1287" s="8"/>
      <c r="FD1287" s="8"/>
      <c r="FE1287" s="8"/>
      <c r="FF1287" s="8"/>
      <c r="FG1287" s="8"/>
      <c r="FH1287" s="8"/>
      <c r="FI1287" s="8"/>
      <c r="FJ1287" s="8"/>
      <c r="FK1287" s="8"/>
      <c r="FL1287" s="8"/>
      <c r="FM1287" s="8"/>
      <c r="FN1287" s="8"/>
      <c r="FO1287" s="8"/>
      <c r="FP1287" s="8"/>
      <c r="FQ1287" s="8"/>
      <c r="FR1287" s="8"/>
      <c r="FS1287" s="8"/>
      <c r="FT1287" s="8"/>
      <c r="FU1287" s="8"/>
      <c r="FV1287" s="8"/>
      <c r="FW1287" s="8"/>
      <c r="FX1287" s="8"/>
      <c r="FY1287" s="8"/>
      <c r="FZ1287" s="8"/>
      <c r="GA1287" s="8"/>
      <c r="GB1287" s="8"/>
      <c r="GC1287" s="8"/>
      <c r="GD1287" s="8"/>
      <c r="GE1287" s="8"/>
      <c r="GF1287" s="8"/>
      <c r="GG1287" s="8"/>
      <c r="GH1287" s="8"/>
      <c r="GI1287" s="8"/>
      <c r="GJ1287" s="8"/>
      <c r="GK1287" s="8"/>
      <c r="GL1287" s="8"/>
      <c r="GM1287" s="8"/>
      <c r="GN1287" s="8"/>
      <c r="GO1287" s="8"/>
      <c r="GP1287" s="8"/>
      <c r="GQ1287" s="8"/>
      <c r="GR1287" s="8"/>
      <c r="GS1287" s="8"/>
      <c r="GT1287" s="8"/>
      <c r="GU1287" s="8"/>
      <c r="GV1287" s="8"/>
      <c r="GW1287" s="8"/>
      <c r="GX1287" s="8"/>
      <c r="GY1287" s="8"/>
      <c r="GZ1287" s="8"/>
      <c r="HA1287" s="8"/>
      <c r="HB1287" s="8"/>
      <c r="HC1287" s="8"/>
      <c r="HD1287" s="8"/>
      <c r="HE1287" s="8"/>
      <c r="HF1287" s="8"/>
      <c r="HG1287" s="8"/>
      <c r="HH1287" s="8"/>
      <c r="HI1287" s="8"/>
      <c r="HJ1287" s="8"/>
      <c r="HK1287" s="8"/>
      <c r="HL1287" s="8"/>
      <c r="HM1287" s="8"/>
      <c r="HN1287" s="8"/>
      <c r="HO1287" s="8"/>
      <c r="HP1287" s="8"/>
      <c r="HQ1287" s="8"/>
      <c r="HR1287" s="8"/>
      <c r="HS1287" s="8"/>
      <c r="HT1287" s="8"/>
      <c r="HU1287" s="8"/>
      <c r="HV1287" s="8"/>
      <c r="HW1287" s="8"/>
      <c r="HX1287" s="8"/>
      <c r="HY1287" s="8"/>
      <c r="HZ1287" s="8"/>
      <c r="IA1287" s="8"/>
      <c r="IB1287" s="8"/>
      <c r="IC1287" s="8"/>
      <c r="ID1287" s="8"/>
      <c r="IE1287" s="8"/>
      <c r="IF1287" s="8"/>
    </row>
    <row r="1288" spans="1:240" ht="30" customHeight="1">
      <c r="A1288" s="5">
        <v>1286</v>
      </c>
      <c r="B1288" s="5"/>
      <c r="C1288" s="5"/>
      <c r="D1288" s="5" t="s">
        <v>68</v>
      </c>
      <c r="E1288" s="5">
        <v>1500</v>
      </c>
      <c r="F1288" s="5">
        <v>1200</v>
      </c>
      <c r="G1288" s="5">
        <v>2590</v>
      </c>
      <c r="H1288" s="5">
        <v>520</v>
      </c>
      <c r="I1288" s="5" t="s">
        <v>13</v>
      </c>
      <c r="J1288" s="15">
        <f>4*35/4.4</f>
        <v>31.818181818181817</v>
      </c>
      <c r="K1288" s="17">
        <f t="shared" si="38"/>
        <v>4.1670000000000016</v>
      </c>
      <c r="L1288" s="15">
        <f>35*3782*4.1868/3600</f>
        <v>153.94631000000001</v>
      </c>
      <c r="M1288" s="5">
        <f t="shared" si="39"/>
        <v>3.8890000000000029</v>
      </c>
      <c r="N1288" s="5"/>
      <c r="O1288" s="5">
        <f>8350*1.6978*R1288</f>
        <v>14176.63</v>
      </c>
      <c r="P1288" s="5"/>
      <c r="Q1288" s="5"/>
      <c r="R1288" s="5">
        <v>1</v>
      </c>
      <c r="S1288" s="5">
        <v>700</v>
      </c>
      <c r="T1288" s="5"/>
      <c r="U1288" s="5">
        <v>1400</v>
      </c>
      <c r="V1288" s="15">
        <f>0.7457*2*R1288</f>
        <v>1.4914000000000001</v>
      </c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8"/>
      <c r="AP1288" s="8"/>
      <c r="AQ1288" s="8"/>
      <c r="AR1288" s="8"/>
      <c r="AS1288" s="8"/>
      <c r="AT1288" s="8"/>
      <c r="AU1288" s="8"/>
      <c r="AV1288" s="8"/>
      <c r="AW1288" s="8"/>
      <c r="AX1288" s="8"/>
      <c r="AY1288" s="8"/>
      <c r="AZ1288" s="8"/>
      <c r="BA1288" s="8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8"/>
      <c r="BS1288" s="8"/>
      <c r="BT1288" s="8"/>
      <c r="BU1288" s="8"/>
      <c r="BV1288" s="8"/>
      <c r="BW1288" s="8"/>
      <c r="BX1288" s="8"/>
      <c r="BY1288" s="8"/>
      <c r="BZ1288" s="8"/>
      <c r="CA1288" s="8"/>
      <c r="CB1288" s="8"/>
      <c r="CC1288" s="8"/>
      <c r="CD1288" s="8"/>
      <c r="CE1288" s="8"/>
      <c r="CF1288" s="8"/>
      <c r="CG1288" s="8"/>
      <c r="CH1288" s="8"/>
      <c r="CI1288" s="8"/>
      <c r="CJ1288" s="8"/>
      <c r="CK1288" s="8"/>
      <c r="CL1288" s="8"/>
      <c r="CM1288" s="8"/>
      <c r="CN1288" s="8"/>
      <c r="CO1288" s="8"/>
      <c r="CP1288" s="8"/>
      <c r="CQ1288" s="8"/>
      <c r="CR1288" s="8"/>
      <c r="CS1288" s="8"/>
      <c r="CT1288" s="8"/>
      <c r="CU1288" s="8"/>
      <c r="CV1288" s="8"/>
      <c r="CW1288" s="8"/>
      <c r="CX1288" s="8"/>
      <c r="CY1288" s="8"/>
      <c r="CZ1288" s="8"/>
      <c r="DA1288" s="8"/>
      <c r="DB1288" s="8"/>
      <c r="DC1288" s="8"/>
      <c r="DD1288" s="8"/>
      <c r="DE1288" s="8"/>
      <c r="DF1288" s="8"/>
      <c r="DG1288" s="8"/>
      <c r="DH1288" s="8"/>
      <c r="DI1288" s="8"/>
      <c r="DJ1288" s="8"/>
      <c r="DK1288" s="8"/>
      <c r="DL1288" s="8"/>
      <c r="DM1288" s="8"/>
      <c r="DN1288" s="8"/>
      <c r="DO1288" s="8"/>
      <c r="DP1288" s="8"/>
      <c r="DQ1288" s="8"/>
      <c r="DR1288" s="8"/>
      <c r="DS1288" s="8"/>
      <c r="DT1288" s="8"/>
      <c r="DU1288" s="8"/>
      <c r="DV1288" s="8"/>
      <c r="DW1288" s="8"/>
      <c r="DX1288" s="8"/>
      <c r="DY1288" s="8"/>
      <c r="DZ1288" s="8"/>
      <c r="EA1288" s="8"/>
      <c r="EB1288" s="8"/>
      <c r="EC1288" s="8"/>
      <c r="ED1288" s="8"/>
      <c r="EE1288" s="8"/>
      <c r="EF1288" s="8"/>
      <c r="EG1288" s="8"/>
      <c r="EH1288" s="8"/>
      <c r="EI1288" s="8"/>
      <c r="EJ1288" s="8"/>
      <c r="EK1288" s="8"/>
      <c r="EL1288" s="8"/>
      <c r="EM1288" s="8"/>
      <c r="EN1288" s="8"/>
      <c r="EO1288" s="8"/>
      <c r="EP1288" s="8"/>
      <c r="EQ1288" s="8"/>
      <c r="ER1288" s="8"/>
      <c r="ES1288" s="8"/>
      <c r="ET1288" s="8"/>
      <c r="EU1288" s="8"/>
      <c r="EV1288" s="8"/>
      <c r="EW1288" s="8"/>
      <c r="EX1288" s="8"/>
      <c r="EY1288" s="8"/>
      <c r="EZ1288" s="8"/>
      <c r="FA1288" s="8"/>
      <c r="FB1288" s="8"/>
      <c r="FC1288" s="8"/>
      <c r="FD1288" s="8"/>
      <c r="FE1288" s="8"/>
      <c r="FF1288" s="8"/>
      <c r="FG1288" s="8"/>
      <c r="FH1288" s="8"/>
      <c r="FI1288" s="8"/>
      <c r="FJ1288" s="8"/>
      <c r="FK1288" s="8"/>
      <c r="FL1288" s="8"/>
      <c r="FM1288" s="8"/>
      <c r="FN1288" s="8"/>
      <c r="FO1288" s="8"/>
      <c r="FP1288" s="8"/>
      <c r="FQ1288" s="8"/>
      <c r="FR1288" s="8"/>
      <c r="FS1288" s="8"/>
      <c r="FT1288" s="8"/>
      <c r="FU1288" s="8"/>
      <c r="FV1288" s="8"/>
      <c r="FW1288" s="8"/>
      <c r="FX1288" s="8"/>
      <c r="FY1288" s="8"/>
      <c r="FZ1288" s="8"/>
      <c r="GA1288" s="8"/>
      <c r="GB1288" s="8"/>
      <c r="GC1288" s="8"/>
      <c r="GD1288" s="8"/>
      <c r="GE1288" s="8"/>
      <c r="GF1288" s="8"/>
      <c r="GG1288" s="8"/>
      <c r="GH1288" s="8"/>
      <c r="GI1288" s="8"/>
      <c r="GJ1288" s="8"/>
      <c r="GK1288" s="8"/>
      <c r="GL1288" s="8"/>
      <c r="GM1288" s="8"/>
      <c r="GN1288" s="8"/>
      <c r="GO1288" s="8"/>
      <c r="GP1288" s="8"/>
      <c r="GQ1288" s="8"/>
      <c r="GR1288" s="8"/>
      <c r="GS1288" s="8"/>
      <c r="GT1288" s="8"/>
      <c r="GU1288" s="8"/>
      <c r="GV1288" s="8"/>
      <c r="GW1288" s="8"/>
      <c r="GX1288" s="8"/>
      <c r="GY1288" s="8"/>
      <c r="GZ1288" s="8"/>
      <c r="HA1288" s="8"/>
      <c r="HB1288" s="8"/>
      <c r="HC1288" s="8"/>
      <c r="HD1288" s="8"/>
      <c r="HE1288" s="8"/>
      <c r="HF1288" s="8"/>
      <c r="HG1288" s="8"/>
      <c r="HH1288" s="8"/>
      <c r="HI1288" s="8"/>
      <c r="HJ1288" s="8"/>
      <c r="HK1288" s="8"/>
      <c r="HL1288" s="8"/>
      <c r="HM1288" s="8"/>
      <c r="HN1288" s="8"/>
      <c r="HO1288" s="8"/>
      <c r="HP1288" s="8"/>
      <c r="HQ1288" s="8"/>
      <c r="HR1288" s="8"/>
      <c r="HS1288" s="8"/>
      <c r="HT1288" s="8"/>
      <c r="HU1288" s="8"/>
      <c r="HV1288" s="8"/>
      <c r="HW1288" s="8"/>
      <c r="HX1288" s="8"/>
      <c r="HY1288" s="8"/>
      <c r="HZ1288" s="8"/>
      <c r="IA1288" s="8"/>
      <c r="IB1288" s="8"/>
      <c r="IC1288" s="8"/>
      <c r="ID1288" s="8"/>
      <c r="IE1288" s="8"/>
      <c r="IF1288" s="8"/>
    </row>
    <row r="1289" spans="1:240" ht="30" customHeight="1">
      <c r="A1289" s="5">
        <v>1287</v>
      </c>
      <c r="B1289" s="5"/>
      <c r="C1289" s="5"/>
      <c r="D1289" s="5" t="s">
        <v>68</v>
      </c>
      <c r="E1289" s="5">
        <v>1500</v>
      </c>
      <c r="F1289" s="5">
        <v>1500</v>
      </c>
      <c r="G1289" s="5">
        <v>2590</v>
      </c>
      <c r="H1289" s="5">
        <v>630</v>
      </c>
      <c r="I1289" s="5" t="s">
        <v>13</v>
      </c>
      <c r="J1289" s="15">
        <f>4*40/4.4</f>
        <v>36.36363636363636</v>
      </c>
      <c r="K1289" s="17">
        <f t="shared" si="38"/>
        <v>4.1670000000000016</v>
      </c>
      <c r="L1289" s="15">
        <f>40*3782*4.1868/3600</f>
        <v>175.93863999999999</v>
      </c>
      <c r="M1289" s="5">
        <f t="shared" si="39"/>
        <v>3.8890000000000029</v>
      </c>
      <c r="N1289" s="5"/>
      <c r="O1289" s="5">
        <f>10500*1.6978*R1289</f>
        <v>17826.900000000001</v>
      </c>
      <c r="P1289" s="5"/>
      <c r="Q1289" s="5"/>
      <c r="R1289" s="5">
        <v>1</v>
      </c>
      <c r="S1289" s="5">
        <v>700</v>
      </c>
      <c r="T1289" s="5"/>
      <c r="U1289" s="5">
        <v>1400</v>
      </c>
      <c r="V1289" s="15">
        <f>0.7457*2*R1289</f>
        <v>1.4914000000000001</v>
      </c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8"/>
      <c r="AP1289" s="8"/>
      <c r="AQ1289" s="8"/>
      <c r="AR1289" s="8"/>
      <c r="AS1289" s="8"/>
      <c r="AT1289" s="8"/>
      <c r="AU1289" s="8"/>
      <c r="AV1289" s="8"/>
      <c r="AW1289" s="8"/>
      <c r="AX1289" s="8"/>
      <c r="AY1289" s="8"/>
      <c r="AZ1289" s="8"/>
      <c r="BA1289" s="8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8"/>
      <c r="BS1289" s="8"/>
      <c r="BT1289" s="8"/>
      <c r="BU1289" s="8"/>
      <c r="BV1289" s="8"/>
      <c r="BW1289" s="8"/>
      <c r="BX1289" s="8"/>
      <c r="BY1289" s="8"/>
      <c r="BZ1289" s="8"/>
      <c r="CA1289" s="8"/>
      <c r="CB1289" s="8"/>
      <c r="CC1289" s="8"/>
      <c r="CD1289" s="8"/>
      <c r="CE1289" s="8"/>
      <c r="CF1289" s="8"/>
      <c r="CG1289" s="8"/>
      <c r="CH1289" s="8"/>
      <c r="CI1289" s="8"/>
      <c r="CJ1289" s="8"/>
      <c r="CK1289" s="8"/>
      <c r="CL1289" s="8"/>
      <c r="CM1289" s="8"/>
      <c r="CN1289" s="8"/>
      <c r="CO1289" s="8"/>
      <c r="CP1289" s="8"/>
      <c r="CQ1289" s="8"/>
      <c r="CR1289" s="8"/>
      <c r="CS1289" s="8"/>
      <c r="CT1289" s="8"/>
      <c r="CU1289" s="8"/>
      <c r="CV1289" s="8"/>
      <c r="CW1289" s="8"/>
      <c r="CX1289" s="8"/>
      <c r="CY1289" s="8"/>
      <c r="CZ1289" s="8"/>
      <c r="DA1289" s="8"/>
      <c r="DB1289" s="8"/>
      <c r="DC1289" s="8"/>
      <c r="DD1289" s="8"/>
      <c r="DE1289" s="8"/>
      <c r="DF1289" s="8"/>
      <c r="DG1289" s="8"/>
      <c r="DH1289" s="8"/>
      <c r="DI1289" s="8"/>
      <c r="DJ1289" s="8"/>
      <c r="DK1289" s="8"/>
      <c r="DL1289" s="8"/>
      <c r="DM1289" s="8"/>
      <c r="DN1289" s="8"/>
      <c r="DO1289" s="8"/>
      <c r="DP1289" s="8"/>
      <c r="DQ1289" s="8"/>
      <c r="DR1289" s="8"/>
      <c r="DS1289" s="8"/>
      <c r="DT1289" s="8"/>
      <c r="DU1289" s="8"/>
      <c r="DV1289" s="8"/>
      <c r="DW1289" s="8"/>
      <c r="DX1289" s="8"/>
      <c r="DY1289" s="8"/>
      <c r="DZ1289" s="8"/>
      <c r="EA1289" s="8"/>
      <c r="EB1289" s="8"/>
      <c r="EC1289" s="8"/>
      <c r="ED1289" s="8"/>
      <c r="EE1289" s="8"/>
      <c r="EF1289" s="8"/>
      <c r="EG1289" s="8"/>
      <c r="EH1289" s="8"/>
      <c r="EI1289" s="8"/>
      <c r="EJ1289" s="8"/>
      <c r="EK1289" s="8"/>
      <c r="EL1289" s="8"/>
      <c r="EM1289" s="8"/>
      <c r="EN1289" s="8"/>
      <c r="EO1289" s="8"/>
      <c r="EP1289" s="8"/>
      <c r="EQ1289" s="8"/>
      <c r="ER1289" s="8"/>
      <c r="ES1289" s="8"/>
      <c r="ET1289" s="8"/>
      <c r="EU1289" s="8"/>
      <c r="EV1289" s="8"/>
      <c r="EW1289" s="8"/>
      <c r="EX1289" s="8"/>
      <c r="EY1289" s="8"/>
      <c r="EZ1289" s="8"/>
      <c r="FA1289" s="8"/>
      <c r="FB1289" s="8"/>
      <c r="FC1289" s="8"/>
      <c r="FD1289" s="8"/>
      <c r="FE1289" s="8"/>
      <c r="FF1289" s="8"/>
      <c r="FG1289" s="8"/>
      <c r="FH1289" s="8"/>
      <c r="FI1289" s="8"/>
      <c r="FJ1289" s="8"/>
      <c r="FK1289" s="8"/>
      <c r="FL1289" s="8"/>
      <c r="FM1289" s="8"/>
      <c r="FN1289" s="8"/>
      <c r="FO1289" s="8"/>
      <c r="FP1289" s="8"/>
      <c r="FQ1289" s="8"/>
      <c r="FR1289" s="8"/>
      <c r="FS1289" s="8"/>
      <c r="FT1289" s="8"/>
      <c r="FU1289" s="8"/>
      <c r="FV1289" s="8"/>
      <c r="FW1289" s="8"/>
      <c r="FX1289" s="8"/>
      <c r="FY1289" s="8"/>
      <c r="FZ1289" s="8"/>
      <c r="GA1289" s="8"/>
      <c r="GB1289" s="8"/>
      <c r="GC1289" s="8"/>
      <c r="GD1289" s="8"/>
      <c r="GE1289" s="8"/>
      <c r="GF1289" s="8"/>
      <c r="GG1289" s="8"/>
      <c r="GH1289" s="8"/>
      <c r="GI1289" s="8"/>
      <c r="GJ1289" s="8"/>
      <c r="GK1289" s="8"/>
      <c r="GL1289" s="8"/>
      <c r="GM1289" s="8"/>
      <c r="GN1289" s="8"/>
      <c r="GO1289" s="8"/>
      <c r="GP1289" s="8"/>
      <c r="GQ1289" s="8"/>
      <c r="GR1289" s="8"/>
      <c r="GS1289" s="8"/>
      <c r="GT1289" s="8"/>
      <c r="GU1289" s="8"/>
      <c r="GV1289" s="8"/>
      <c r="GW1289" s="8"/>
      <c r="GX1289" s="8"/>
      <c r="GY1289" s="8"/>
      <c r="GZ1289" s="8"/>
      <c r="HA1289" s="8"/>
      <c r="HB1289" s="8"/>
      <c r="HC1289" s="8"/>
      <c r="HD1289" s="8"/>
      <c r="HE1289" s="8"/>
      <c r="HF1289" s="8"/>
      <c r="HG1289" s="8"/>
      <c r="HH1289" s="8"/>
      <c r="HI1289" s="8"/>
      <c r="HJ1289" s="8"/>
      <c r="HK1289" s="8"/>
      <c r="HL1289" s="8"/>
      <c r="HM1289" s="8"/>
      <c r="HN1289" s="8"/>
      <c r="HO1289" s="8"/>
      <c r="HP1289" s="8"/>
      <c r="HQ1289" s="8"/>
      <c r="HR1289" s="8"/>
      <c r="HS1289" s="8"/>
      <c r="HT1289" s="8"/>
      <c r="HU1289" s="8"/>
      <c r="HV1289" s="8"/>
      <c r="HW1289" s="8"/>
      <c r="HX1289" s="8"/>
      <c r="HY1289" s="8"/>
      <c r="HZ1289" s="8"/>
      <c r="IA1289" s="8"/>
      <c r="IB1289" s="8"/>
      <c r="IC1289" s="8"/>
      <c r="ID1289" s="8"/>
      <c r="IE1289" s="8"/>
      <c r="IF1289" s="8"/>
    </row>
    <row r="1290" spans="1:240" ht="30" customHeight="1">
      <c r="A1290" s="5">
        <v>1288</v>
      </c>
      <c r="B1290" s="5"/>
      <c r="C1290" s="5"/>
      <c r="D1290" s="5" t="s">
        <v>68</v>
      </c>
      <c r="E1290" s="5">
        <v>1800</v>
      </c>
      <c r="F1290" s="5">
        <v>1500</v>
      </c>
      <c r="G1290" s="5">
        <v>3050</v>
      </c>
      <c r="H1290" s="5">
        <v>750</v>
      </c>
      <c r="I1290" s="5" t="s">
        <v>13</v>
      </c>
      <c r="J1290" s="15">
        <f>4*50/4.4</f>
        <v>45.454545454545453</v>
      </c>
      <c r="K1290" s="17">
        <f t="shared" si="38"/>
        <v>4.1670000000000016</v>
      </c>
      <c r="L1290" s="15">
        <f>50*3782*4.1868/3600</f>
        <v>219.92330000000001</v>
      </c>
      <c r="M1290" s="5">
        <f t="shared" si="39"/>
        <v>3.8890000000000029</v>
      </c>
      <c r="N1290" s="5"/>
      <c r="O1290" s="5">
        <f>12600*1.6978*R1290</f>
        <v>21392.28</v>
      </c>
      <c r="P1290" s="5"/>
      <c r="Q1290" s="5"/>
      <c r="R1290" s="5">
        <v>1</v>
      </c>
      <c r="S1290" s="5">
        <v>900</v>
      </c>
      <c r="T1290" s="5"/>
      <c r="U1290" s="5">
        <v>960</v>
      </c>
      <c r="V1290" s="15">
        <f>0.7457*3*R1290</f>
        <v>2.2370999999999999</v>
      </c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8"/>
      <c r="AP1290" s="8"/>
      <c r="AQ1290" s="8"/>
      <c r="AR1290" s="8"/>
      <c r="AS1290" s="8"/>
      <c r="AT1290" s="8"/>
      <c r="AU1290" s="8"/>
      <c r="AV1290" s="8"/>
      <c r="AW1290" s="8"/>
      <c r="AX1290" s="8"/>
      <c r="AY1290" s="8"/>
      <c r="AZ1290" s="8"/>
      <c r="BA1290" s="8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8"/>
      <c r="BS1290" s="8"/>
      <c r="BT1290" s="8"/>
      <c r="BU1290" s="8"/>
      <c r="BV1290" s="8"/>
      <c r="BW1290" s="8"/>
      <c r="BX1290" s="8"/>
      <c r="BY1290" s="8"/>
      <c r="BZ1290" s="8"/>
      <c r="CA1290" s="8"/>
      <c r="CB1290" s="8"/>
      <c r="CC1290" s="8"/>
      <c r="CD1290" s="8"/>
      <c r="CE1290" s="8"/>
      <c r="CF1290" s="8"/>
      <c r="CG1290" s="8"/>
      <c r="CH1290" s="8"/>
      <c r="CI1290" s="8"/>
      <c r="CJ1290" s="8"/>
      <c r="CK1290" s="8"/>
      <c r="CL1290" s="8"/>
      <c r="CM1290" s="8"/>
      <c r="CN1290" s="8"/>
      <c r="CO1290" s="8"/>
      <c r="CP1290" s="8"/>
      <c r="CQ1290" s="8"/>
      <c r="CR1290" s="8"/>
      <c r="CS1290" s="8"/>
      <c r="CT1290" s="8"/>
      <c r="CU1290" s="8"/>
      <c r="CV1290" s="8"/>
      <c r="CW1290" s="8"/>
      <c r="CX1290" s="8"/>
      <c r="CY1290" s="8"/>
      <c r="CZ1290" s="8"/>
      <c r="DA1290" s="8"/>
      <c r="DB1290" s="8"/>
      <c r="DC1290" s="8"/>
      <c r="DD1290" s="8"/>
      <c r="DE1290" s="8"/>
      <c r="DF1290" s="8"/>
      <c r="DG1290" s="8"/>
      <c r="DH1290" s="8"/>
      <c r="DI1290" s="8"/>
      <c r="DJ1290" s="8"/>
      <c r="DK1290" s="8"/>
      <c r="DL1290" s="8"/>
      <c r="DM1290" s="8"/>
      <c r="DN1290" s="8"/>
      <c r="DO1290" s="8"/>
      <c r="DP1290" s="8"/>
      <c r="DQ1290" s="8"/>
      <c r="DR1290" s="8"/>
      <c r="DS1290" s="8"/>
      <c r="DT1290" s="8"/>
      <c r="DU1290" s="8"/>
      <c r="DV1290" s="8"/>
      <c r="DW1290" s="8"/>
      <c r="DX1290" s="8"/>
      <c r="DY1290" s="8"/>
      <c r="DZ1290" s="8"/>
      <c r="EA1290" s="8"/>
      <c r="EB1290" s="8"/>
      <c r="EC1290" s="8"/>
      <c r="ED1290" s="8"/>
      <c r="EE1290" s="8"/>
      <c r="EF1290" s="8"/>
      <c r="EG1290" s="8"/>
      <c r="EH1290" s="8"/>
      <c r="EI1290" s="8"/>
      <c r="EJ1290" s="8"/>
      <c r="EK1290" s="8"/>
      <c r="EL1290" s="8"/>
      <c r="EM1290" s="8"/>
      <c r="EN1290" s="8"/>
      <c r="EO1290" s="8"/>
      <c r="EP1290" s="8"/>
      <c r="EQ1290" s="8"/>
      <c r="ER1290" s="8"/>
      <c r="ES1290" s="8"/>
      <c r="ET1290" s="8"/>
      <c r="EU1290" s="8"/>
      <c r="EV1290" s="8"/>
      <c r="EW1290" s="8"/>
      <c r="EX1290" s="8"/>
      <c r="EY1290" s="8"/>
      <c r="EZ1290" s="8"/>
      <c r="FA1290" s="8"/>
      <c r="FB1290" s="8"/>
      <c r="FC1290" s="8"/>
      <c r="FD1290" s="8"/>
      <c r="FE1290" s="8"/>
      <c r="FF1290" s="8"/>
      <c r="FG1290" s="8"/>
      <c r="FH1290" s="8"/>
      <c r="FI1290" s="8"/>
      <c r="FJ1290" s="8"/>
      <c r="FK1290" s="8"/>
      <c r="FL1290" s="8"/>
      <c r="FM1290" s="8"/>
      <c r="FN1290" s="8"/>
      <c r="FO1290" s="8"/>
      <c r="FP1290" s="8"/>
      <c r="FQ1290" s="8"/>
      <c r="FR1290" s="8"/>
      <c r="FS1290" s="8"/>
      <c r="FT1290" s="8"/>
      <c r="FU1290" s="8"/>
      <c r="FV1290" s="8"/>
      <c r="FW1290" s="8"/>
      <c r="FX1290" s="8"/>
      <c r="FY1290" s="8"/>
      <c r="FZ1290" s="8"/>
      <c r="GA1290" s="8"/>
      <c r="GB1290" s="8"/>
      <c r="GC1290" s="8"/>
      <c r="GD1290" s="8"/>
      <c r="GE1290" s="8"/>
      <c r="GF1290" s="8"/>
      <c r="GG1290" s="8"/>
      <c r="GH1290" s="8"/>
      <c r="GI1290" s="8"/>
      <c r="GJ1290" s="8"/>
      <c r="GK1290" s="8"/>
      <c r="GL1290" s="8"/>
      <c r="GM1290" s="8"/>
      <c r="GN1290" s="8"/>
      <c r="GO1290" s="8"/>
      <c r="GP1290" s="8"/>
      <c r="GQ1290" s="8"/>
      <c r="GR1290" s="8"/>
      <c r="GS1290" s="8"/>
      <c r="GT1290" s="8"/>
      <c r="GU1290" s="8"/>
      <c r="GV1290" s="8"/>
      <c r="GW1290" s="8"/>
      <c r="GX1290" s="8"/>
      <c r="GY1290" s="8"/>
      <c r="GZ1290" s="8"/>
      <c r="HA1290" s="8"/>
      <c r="HB1290" s="8"/>
      <c r="HC1290" s="8"/>
      <c r="HD1290" s="8"/>
      <c r="HE1290" s="8"/>
      <c r="HF1290" s="8"/>
      <c r="HG1290" s="8"/>
      <c r="HH1290" s="8"/>
      <c r="HI1290" s="8"/>
      <c r="HJ1290" s="8"/>
      <c r="HK1290" s="8"/>
      <c r="HL1290" s="8"/>
      <c r="HM1290" s="8"/>
      <c r="HN1290" s="8"/>
      <c r="HO1290" s="8"/>
      <c r="HP1290" s="8"/>
      <c r="HQ1290" s="8"/>
      <c r="HR1290" s="8"/>
      <c r="HS1290" s="8"/>
      <c r="HT1290" s="8"/>
      <c r="HU1290" s="8"/>
      <c r="HV1290" s="8"/>
      <c r="HW1290" s="8"/>
      <c r="HX1290" s="8"/>
      <c r="HY1290" s="8"/>
      <c r="HZ1290" s="8"/>
      <c r="IA1290" s="8"/>
      <c r="IB1290" s="8"/>
      <c r="IC1290" s="8"/>
      <c r="ID1290" s="8"/>
      <c r="IE1290" s="8"/>
      <c r="IF1290" s="8"/>
    </row>
    <row r="1291" spans="1:240" ht="30" customHeight="1">
      <c r="A1291" s="5">
        <v>1289</v>
      </c>
      <c r="B1291" s="5"/>
      <c r="C1291" s="5"/>
      <c r="D1291" s="5" t="s">
        <v>68</v>
      </c>
      <c r="E1291" s="5">
        <v>1800</v>
      </c>
      <c r="F1291" s="5">
        <v>1800</v>
      </c>
      <c r="G1291" s="5">
        <v>3050</v>
      </c>
      <c r="H1291" s="5">
        <v>900</v>
      </c>
      <c r="I1291" s="5" t="s">
        <v>13</v>
      </c>
      <c r="J1291" s="15">
        <f>4*60/4.4</f>
        <v>54.54545454545454</v>
      </c>
      <c r="K1291" s="17">
        <f t="shared" si="38"/>
        <v>4.1670000000000016</v>
      </c>
      <c r="L1291" s="15">
        <f>60*3782*4.1868/3600</f>
        <v>263.90796</v>
      </c>
      <c r="M1291" s="5">
        <f t="shared" si="39"/>
        <v>3.8890000000000029</v>
      </c>
      <c r="N1291" s="5"/>
      <c r="O1291" s="5">
        <f>15100*1.6978*R1291</f>
        <v>25636.78</v>
      </c>
      <c r="P1291" s="5"/>
      <c r="Q1291" s="5"/>
      <c r="R1291" s="5">
        <v>1</v>
      </c>
      <c r="S1291" s="5">
        <v>900</v>
      </c>
      <c r="T1291" s="5"/>
      <c r="U1291" s="5">
        <v>960</v>
      </c>
      <c r="V1291" s="15">
        <f>0.7457*3*R1291</f>
        <v>2.2370999999999999</v>
      </c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8"/>
      <c r="BS1291" s="8"/>
      <c r="BT1291" s="8"/>
      <c r="BU1291" s="8"/>
      <c r="BV1291" s="8"/>
      <c r="BW1291" s="8"/>
      <c r="BX1291" s="8"/>
      <c r="BY1291" s="8"/>
      <c r="BZ1291" s="8"/>
      <c r="CA1291" s="8"/>
      <c r="CB1291" s="8"/>
      <c r="CC1291" s="8"/>
      <c r="CD1291" s="8"/>
      <c r="CE1291" s="8"/>
      <c r="CF1291" s="8"/>
      <c r="CG1291" s="8"/>
      <c r="CH1291" s="8"/>
      <c r="CI1291" s="8"/>
      <c r="CJ1291" s="8"/>
      <c r="CK1291" s="8"/>
      <c r="CL1291" s="8"/>
      <c r="CM1291" s="8"/>
      <c r="CN1291" s="8"/>
      <c r="CO1291" s="8"/>
      <c r="CP1291" s="8"/>
      <c r="CQ1291" s="8"/>
      <c r="CR1291" s="8"/>
      <c r="CS1291" s="8"/>
      <c r="CT1291" s="8"/>
      <c r="CU1291" s="8"/>
      <c r="CV1291" s="8"/>
      <c r="CW1291" s="8"/>
      <c r="CX1291" s="8"/>
      <c r="CY1291" s="8"/>
      <c r="CZ1291" s="8"/>
      <c r="DA1291" s="8"/>
      <c r="DB1291" s="8"/>
      <c r="DC1291" s="8"/>
      <c r="DD1291" s="8"/>
      <c r="DE1291" s="8"/>
      <c r="DF1291" s="8"/>
      <c r="DG1291" s="8"/>
      <c r="DH1291" s="8"/>
      <c r="DI1291" s="8"/>
      <c r="DJ1291" s="8"/>
      <c r="DK1291" s="8"/>
      <c r="DL1291" s="8"/>
      <c r="DM1291" s="8"/>
      <c r="DN1291" s="8"/>
      <c r="DO1291" s="8"/>
      <c r="DP1291" s="8"/>
      <c r="DQ1291" s="8"/>
      <c r="DR1291" s="8"/>
      <c r="DS1291" s="8"/>
      <c r="DT1291" s="8"/>
      <c r="DU1291" s="8"/>
      <c r="DV1291" s="8"/>
      <c r="DW1291" s="8"/>
      <c r="DX1291" s="8"/>
      <c r="DY1291" s="8"/>
      <c r="DZ1291" s="8"/>
      <c r="EA1291" s="8"/>
      <c r="EB1291" s="8"/>
      <c r="EC1291" s="8"/>
      <c r="ED1291" s="8"/>
      <c r="EE1291" s="8"/>
      <c r="EF1291" s="8"/>
      <c r="EG1291" s="8"/>
      <c r="EH1291" s="8"/>
      <c r="EI1291" s="8"/>
      <c r="EJ1291" s="8"/>
      <c r="EK1291" s="8"/>
      <c r="EL1291" s="8"/>
      <c r="EM1291" s="8"/>
      <c r="EN1291" s="8"/>
      <c r="EO1291" s="8"/>
      <c r="EP1291" s="8"/>
      <c r="EQ1291" s="8"/>
      <c r="ER1291" s="8"/>
      <c r="ES1291" s="8"/>
      <c r="ET1291" s="8"/>
      <c r="EU1291" s="8"/>
      <c r="EV1291" s="8"/>
      <c r="EW1291" s="8"/>
      <c r="EX1291" s="8"/>
      <c r="EY1291" s="8"/>
      <c r="EZ1291" s="8"/>
      <c r="FA1291" s="8"/>
      <c r="FB1291" s="8"/>
      <c r="FC1291" s="8"/>
      <c r="FD1291" s="8"/>
      <c r="FE1291" s="8"/>
      <c r="FF1291" s="8"/>
      <c r="FG1291" s="8"/>
      <c r="FH1291" s="8"/>
      <c r="FI1291" s="8"/>
      <c r="FJ1291" s="8"/>
      <c r="FK1291" s="8"/>
      <c r="FL1291" s="8"/>
      <c r="FM1291" s="8"/>
      <c r="FN1291" s="8"/>
      <c r="FO1291" s="8"/>
      <c r="FP1291" s="8"/>
      <c r="FQ1291" s="8"/>
      <c r="FR1291" s="8"/>
      <c r="FS1291" s="8"/>
      <c r="FT1291" s="8"/>
      <c r="FU1291" s="8"/>
      <c r="FV1291" s="8"/>
      <c r="FW1291" s="8"/>
      <c r="FX1291" s="8"/>
      <c r="FY1291" s="8"/>
      <c r="FZ1291" s="8"/>
      <c r="GA1291" s="8"/>
      <c r="GB1291" s="8"/>
      <c r="GC1291" s="8"/>
      <c r="GD1291" s="8"/>
      <c r="GE1291" s="8"/>
      <c r="GF1291" s="8"/>
      <c r="GG1291" s="8"/>
      <c r="GH1291" s="8"/>
      <c r="GI1291" s="8"/>
      <c r="GJ1291" s="8"/>
      <c r="GK1291" s="8"/>
      <c r="GL1291" s="8"/>
      <c r="GM1291" s="8"/>
      <c r="GN1291" s="8"/>
      <c r="GO1291" s="8"/>
      <c r="GP1291" s="8"/>
      <c r="GQ1291" s="8"/>
      <c r="GR1291" s="8"/>
      <c r="GS1291" s="8"/>
      <c r="GT1291" s="8"/>
      <c r="GU1291" s="8"/>
      <c r="GV1291" s="8"/>
      <c r="GW1291" s="8"/>
      <c r="GX1291" s="8"/>
      <c r="GY1291" s="8"/>
      <c r="GZ1291" s="8"/>
      <c r="HA1291" s="8"/>
      <c r="HB1291" s="8"/>
      <c r="HC1291" s="8"/>
      <c r="HD1291" s="8"/>
      <c r="HE1291" s="8"/>
      <c r="HF1291" s="8"/>
      <c r="HG1291" s="8"/>
      <c r="HH1291" s="8"/>
      <c r="HI1291" s="8"/>
      <c r="HJ1291" s="8"/>
      <c r="HK1291" s="8"/>
      <c r="HL1291" s="8"/>
      <c r="HM1291" s="8"/>
      <c r="HN1291" s="8"/>
      <c r="HO1291" s="8"/>
      <c r="HP1291" s="8"/>
      <c r="HQ1291" s="8"/>
      <c r="HR1291" s="8"/>
      <c r="HS1291" s="8"/>
      <c r="HT1291" s="8"/>
      <c r="HU1291" s="8"/>
      <c r="HV1291" s="8"/>
      <c r="HW1291" s="8"/>
      <c r="HX1291" s="8"/>
      <c r="HY1291" s="8"/>
      <c r="HZ1291" s="8"/>
      <c r="IA1291" s="8"/>
      <c r="IB1291" s="8"/>
      <c r="IC1291" s="8"/>
      <c r="ID1291" s="8"/>
      <c r="IE1291" s="8"/>
      <c r="IF1291" s="8"/>
    </row>
    <row r="1292" spans="1:240" ht="30" customHeight="1">
      <c r="A1292" s="5">
        <v>1290</v>
      </c>
      <c r="B1292" s="5"/>
      <c r="C1292" s="5"/>
      <c r="D1292" s="5" t="s">
        <v>68</v>
      </c>
      <c r="E1292" s="5">
        <v>1800</v>
      </c>
      <c r="F1292" s="5">
        <v>2100</v>
      </c>
      <c r="G1292" s="5">
        <v>3050</v>
      </c>
      <c r="H1292" s="5">
        <v>1050</v>
      </c>
      <c r="I1292" s="5" t="s">
        <v>13</v>
      </c>
      <c r="J1292" s="15">
        <f>4*70/4.4</f>
        <v>63.636363636363633</v>
      </c>
      <c r="K1292" s="17">
        <f t="shared" si="38"/>
        <v>4.1670000000000016</v>
      </c>
      <c r="L1292" s="15">
        <f>70*3782*4.1868/3600</f>
        <v>307.89262000000002</v>
      </c>
      <c r="M1292" s="5">
        <f t="shared" si="39"/>
        <v>3.8890000000000029</v>
      </c>
      <c r="N1292" s="5"/>
      <c r="O1292" s="5">
        <f>17600*1.6978*R1292</f>
        <v>29881.279999999999</v>
      </c>
      <c r="P1292" s="5"/>
      <c r="Q1292" s="5"/>
      <c r="R1292" s="5">
        <v>1</v>
      </c>
      <c r="S1292" s="5">
        <v>900</v>
      </c>
      <c r="T1292" s="5"/>
      <c r="U1292" s="5">
        <v>960</v>
      </c>
      <c r="V1292" s="15">
        <f>0.7457*3*R1292</f>
        <v>2.2370999999999999</v>
      </c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8"/>
      <c r="AP1292" s="8"/>
      <c r="AQ1292" s="8"/>
      <c r="AR1292" s="8"/>
      <c r="AS1292" s="8"/>
      <c r="AT1292" s="8"/>
      <c r="AU1292" s="8"/>
      <c r="AV1292" s="8"/>
      <c r="AW1292" s="8"/>
      <c r="AX1292" s="8"/>
      <c r="AY1292" s="8"/>
      <c r="AZ1292" s="8"/>
      <c r="BA1292" s="8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8"/>
      <c r="BS1292" s="8"/>
      <c r="BT1292" s="8"/>
      <c r="BU1292" s="8"/>
      <c r="BV1292" s="8"/>
      <c r="BW1292" s="8"/>
      <c r="BX1292" s="8"/>
      <c r="BY1292" s="8"/>
      <c r="BZ1292" s="8"/>
      <c r="CA1292" s="8"/>
      <c r="CB1292" s="8"/>
      <c r="CC1292" s="8"/>
      <c r="CD1292" s="8"/>
      <c r="CE1292" s="8"/>
      <c r="CF1292" s="8"/>
      <c r="CG1292" s="8"/>
      <c r="CH1292" s="8"/>
      <c r="CI1292" s="8"/>
      <c r="CJ1292" s="8"/>
      <c r="CK1292" s="8"/>
      <c r="CL1292" s="8"/>
      <c r="CM1292" s="8"/>
      <c r="CN1292" s="8"/>
      <c r="CO1292" s="8"/>
      <c r="CP1292" s="8"/>
      <c r="CQ1292" s="8"/>
      <c r="CR1292" s="8"/>
      <c r="CS1292" s="8"/>
      <c r="CT1292" s="8"/>
      <c r="CU1292" s="8"/>
      <c r="CV1292" s="8"/>
      <c r="CW1292" s="8"/>
      <c r="CX1292" s="8"/>
      <c r="CY1292" s="8"/>
      <c r="CZ1292" s="8"/>
      <c r="DA1292" s="8"/>
      <c r="DB1292" s="8"/>
      <c r="DC1292" s="8"/>
      <c r="DD1292" s="8"/>
      <c r="DE1292" s="8"/>
      <c r="DF1292" s="8"/>
      <c r="DG1292" s="8"/>
      <c r="DH1292" s="8"/>
      <c r="DI1292" s="8"/>
      <c r="DJ1292" s="8"/>
      <c r="DK1292" s="8"/>
      <c r="DL1292" s="8"/>
      <c r="DM1292" s="8"/>
      <c r="DN1292" s="8"/>
      <c r="DO1292" s="8"/>
      <c r="DP1292" s="8"/>
      <c r="DQ1292" s="8"/>
      <c r="DR1292" s="8"/>
      <c r="DS1292" s="8"/>
      <c r="DT1292" s="8"/>
      <c r="DU1292" s="8"/>
      <c r="DV1292" s="8"/>
      <c r="DW1292" s="8"/>
      <c r="DX1292" s="8"/>
      <c r="DY1292" s="8"/>
      <c r="DZ1292" s="8"/>
      <c r="EA1292" s="8"/>
      <c r="EB1292" s="8"/>
      <c r="EC1292" s="8"/>
      <c r="ED1292" s="8"/>
      <c r="EE1292" s="8"/>
      <c r="EF1292" s="8"/>
      <c r="EG1292" s="8"/>
      <c r="EH1292" s="8"/>
      <c r="EI1292" s="8"/>
      <c r="EJ1292" s="8"/>
      <c r="EK1292" s="8"/>
      <c r="EL1292" s="8"/>
      <c r="EM1292" s="8"/>
      <c r="EN1292" s="8"/>
      <c r="EO1292" s="8"/>
      <c r="EP1292" s="8"/>
      <c r="EQ1292" s="8"/>
      <c r="ER1292" s="8"/>
      <c r="ES1292" s="8"/>
      <c r="ET1292" s="8"/>
      <c r="EU1292" s="8"/>
      <c r="EV1292" s="8"/>
      <c r="EW1292" s="8"/>
      <c r="EX1292" s="8"/>
      <c r="EY1292" s="8"/>
      <c r="EZ1292" s="8"/>
      <c r="FA1292" s="8"/>
      <c r="FB1292" s="8"/>
      <c r="FC1292" s="8"/>
      <c r="FD1292" s="8"/>
      <c r="FE1292" s="8"/>
      <c r="FF1292" s="8"/>
      <c r="FG1292" s="8"/>
      <c r="FH1292" s="8"/>
      <c r="FI1292" s="8"/>
      <c r="FJ1292" s="8"/>
      <c r="FK1292" s="8"/>
      <c r="FL1292" s="8"/>
      <c r="FM1292" s="8"/>
      <c r="FN1292" s="8"/>
      <c r="FO1292" s="8"/>
      <c r="FP1292" s="8"/>
      <c r="FQ1292" s="8"/>
      <c r="FR1292" s="8"/>
      <c r="FS1292" s="8"/>
      <c r="FT1292" s="8"/>
      <c r="FU1292" s="8"/>
      <c r="FV1292" s="8"/>
      <c r="FW1292" s="8"/>
      <c r="FX1292" s="8"/>
      <c r="FY1292" s="8"/>
      <c r="FZ1292" s="8"/>
      <c r="GA1292" s="8"/>
      <c r="GB1292" s="8"/>
      <c r="GC1292" s="8"/>
      <c r="GD1292" s="8"/>
      <c r="GE1292" s="8"/>
      <c r="GF1292" s="8"/>
      <c r="GG1292" s="8"/>
      <c r="GH1292" s="8"/>
      <c r="GI1292" s="8"/>
      <c r="GJ1292" s="8"/>
      <c r="GK1292" s="8"/>
      <c r="GL1292" s="8"/>
      <c r="GM1292" s="8"/>
      <c r="GN1292" s="8"/>
      <c r="GO1292" s="8"/>
      <c r="GP1292" s="8"/>
      <c r="GQ1292" s="8"/>
      <c r="GR1292" s="8"/>
      <c r="GS1292" s="8"/>
      <c r="GT1292" s="8"/>
      <c r="GU1292" s="8"/>
      <c r="GV1292" s="8"/>
      <c r="GW1292" s="8"/>
      <c r="GX1292" s="8"/>
      <c r="GY1292" s="8"/>
      <c r="GZ1292" s="8"/>
      <c r="HA1292" s="8"/>
      <c r="HB1292" s="8"/>
      <c r="HC1292" s="8"/>
      <c r="HD1292" s="8"/>
      <c r="HE1292" s="8"/>
      <c r="HF1292" s="8"/>
      <c r="HG1292" s="8"/>
      <c r="HH1292" s="8"/>
      <c r="HI1292" s="8"/>
      <c r="HJ1292" s="8"/>
      <c r="HK1292" s="8"/>
      <c r="HL1292" s="8"/>
      <c r="HM1292" s="8"/>
      <c r="HN1292" s="8"/>
      <c r="HO1292" s="8"/>
      <c r="HP1292" s="8"/>
      <c r="HQ1292" s="8"/>
      <c r="HR1292" s="8"/>
      <c r="HS1292" s="8"/>
      <c r="HT1292" s="8"/>
      <c r="HU1292" s="8"/>
      <c r="HV1292" s="8"/>
      <c r="HW1292" s="8"/>
      <c r="HX1292" s="8"/>
      <c r="HY1292" s="8"/>
      <c r="HZ1292" s="8"/>
      <c r="IA1292" s="8"/>
      <c r="IB1292" s="8"/>
      <c r="IC1292" s="8"/>
      <c r="ID1292" s="8"/>
      <c r="IE1292" s="8"/>
      <c r="IF1292" s="8"/>
    </row>
    <row r="1293" spans="1:240" ht="30" customHeight="1">
      <c r="A1293" s="5">
        <v>1291</v>
      </c>
      <c r="B1293" s="5"/>
      <c r="C1293" s="5"/>
      <c r="D1293" s="5" t="s">
        <v>68</v>
      </c>
      <c r="E1293" s="5">
        <v>2400</v>
      </c>
      <c r="F1293" s="5">
        <v>1800</v>
      </c>
      <c r="G1293" s="5">
        <v>3050</v>
      </c>
      <c r="H1293" s="5">
        <v>1180</v>
      </c>
      <c r="I1293" s="5" t="s">
        <v>13</v>
      </c>
      <c r="J1293" s="15">
        <f>4*80/4.4</f>
        <v>72.72727272727272</v>
      </c>
      <c r="K1293" s="17">
        <f t="shared" si="38"/>
        <v>4.1670000000000016</v>
      </c>
      <c r="L1293" s="15">
        <f>80*3782*4.1868/3600</f>
        <v>351.87727999999998</v>
      </c>
      <c r="M1293" s="5">
        <f t="shared" si="39"/>
        <v>3.8890000000000029</v>
      </c>
      <c r="N1293" s="5"/>
      <c r="O1293" s="5">
        <f>20100*1.6978*R1293</f>
        <v>34125.78</v>
      </c>
      <c r="P1293" s="5"/>
      <c r="Q1293" s="5"/>
      <c r="R1293" s="5">
        <v>1</v>
      </c>
      <c r="S1293" s="5">
        <v>1000</v>
      </c>
      <c r="T1293" s="5"/>
      <c r="U1293" s="5">
        <v>960</v>
      </c>
      <c r="V1293" s="15">
        <f>0.7457*5*R1293</f>
        <v>3.7285000000000004</v>
      </c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8"/>
      <c r="BS1293" s="8"/>
      <c r="BT1293" s="8"/>
      <c r="BU1293" s="8"/>
      <c r="BV1293" s="8"/>
      <c r="BW1293" s="8"/>
      <c r="BX1293" s="8"/>
      <c r="BY1293" s="8"/>
      <c r="BZ1293" s="8"/>
      <c r="CA1293" s="8"/>
      <c r="CB1293" s="8"/>
      <c r="CC1293" s="8"/>
      <c r="CD1293" s="8"/>
      <c r="CE1293" s="8"/>
      <c r="CF1293" s="8"/>
      <c r="CG1293" s="8"/>
      <c r="CH1293" s="8"/>
      <c r="CI1293" s="8"/>
      <c r="CJ1293" s="8"/>
      <c r="CK1293" s="8"/>
      <c r="CL1293" s="8"/>
      <c r="CM1293" s="8"/>
      <c r="CN1293" s="8"/>
      <c r="CO1293" s="8"/>
      <c r="CP1293" s="8"/>
      <c r="CQ1293" s="8"/>
      <c r="CR1293" s="8"/>
      <c r="CS1293" s="8"/>
      <c r="CT1293" s="8"/>
      <c r="CU1293" s="8"/>
      <c r="CV1293" s="8"/>
      <c r="CW1293" s="8"/>
      <c r="CX1293" s="8"/>
      <c r="CY1293" s="8"/>
      <c r="CZ1293" s="8"/>
      <c r="DA1293" s="8"/>
      <c r="DB1293" s="8"/>
      <c r="DC1293" s="8"/>
      <c r="DD1293" s="8"/>
      <c r="DE1293" s="8"/>
      <c r="DF1293" s="8"/>
      <c r="DG1293" s="8"/>
      <c r="DH1293" s="8"/>
      <c r="DI1293" s="8"/>
      <c r="DJ1293" s="8"/>
      <c r="DK1293" s="8"/>
      <c r="DL1293" s="8"/>
      <c r="DM1293" s="8"/>
      <c r="DN1293" s="8"/>
      <c r="DO1293" s="8"/>
      <c r="DP1293" s="8"/>
      <c r="DQ1293" s="8"/>
      <c r="DR1293" s="8"/>
      <c r="DS1293" s="8"/>
      <c r="DT1293" s="8"/>
      <c r="DU1293" s="8"/>
      <c r="DV1293" s="8"/>
      <c r="DW1293" s="8"/>
      <c r="DX1293" s="8"/>
      <c r="DY1293" s="8"/>
      <c r="DZ1293" s="8"/>
      <c r="EA1293" s="8"/>
      <c r="EB1293" s="8"/>
      <c r="EC1293" s="8"/>
      <c r="ED1293" s="8"/>
      <c r="EE1293" s="8"/>
      <c r="EF1293" s="8"/>
      <c r="EG1293" s="8"/>
      <c r="EH1293" s="8"/>
      <c r="EI1293" s="8"/>
      <c r="EJ1293" s="8"/>
      <c r="EK1293" s="8"/>
      <c r="EL1293" s="8"/>
      <c r="EM1293" s="8"/>
      <c r="EN1293" s="8"/>
      <c r="EO1293" s="8"/>
      <c r="EP1293" s="8"/>
      <c r="EQ1293" s="8"/>
      <c r="ER1293" s="8"/>
      <c r="ES1293" s="8"/>
      <c r="ET1293" s="8"/>
      <c r="EU1293" s="8"/>
      <c r="EV1293" s="8"/>
      <c r="EW1293" s="8"/>
      <c r="EX1293" s="8"/>
      <c r="EY1293" s="8"/>
      <c r="EZ1293" s="8"/>
      <c r="FA1293" s="8"/>
      <c r="FB1293" s="8"/>
      <c r="FC1293" s="8"/>
      <c r="FD1293" s="8"/>
      <c r="FE1293" s="8"/>
      <c r="FF1293" s="8"/>
      <c r="FG1293" s="8"/>
      <c r="FH1293" s="8"/>
      <c r="FI1293" s="8"/>
      <c r="FJ1293" s="8"/>
      <c r="FK1293" s="8"/>
      <c r="FL1293" s="8"/>
      <c r="FM1293" s="8"/>
      <c r="FN1293" s="8"/>
      <c r="FO1293" s="8"/>
      <c r="FP1293" s="8"/>
      <c r="FQ1293" s="8"/>
      <c r="FR1293" s="8"/>
      <c r="FS1293" s="8"/>
      <c r="FT1293" s="8"/>
      <c r="FU1293" s="8"/>
      <c r="FV1293" s="8"/>
      <c r="FW1293" s="8"/>
      <c r="FX1293" s="8"/>
      <c r="FY1293" s="8"/>
      <c r="FZ1293" s="8"/>
      <c r="GA1293" s="8"/>
      <c r="GB1293" s="8"/>
      <c r="GC1293" s="8"/>
      <c r="GD1293" s="8"/>
      <c r="GE1293" s="8"/>
      <c r="GF1293" s="8"/>
      <c r="GG1293" s="8"/>
      <c r="GH1293" s="8"/>
      <c r="GI1293" s="8"/>
      <c r="GJ1293" s="8"/>
      <c r="GK1293" s="8"/>
      <c r="GL1293" s="8"/>
      <c r="GM1293" s="8"/>
      <c r="GN1293" s="8"/>
      <c r="GO1293" s="8"/>
      <c r="GP1293" s="8"/>
      <c r="GQ1293" s="8"/>
      <c r="GR1293" s="8"/>
      <c r="GS1293" s="8"/>
      <c r="GT1293" s="8"/>
      <c r="GU1293" s="8"/>
      <c r="GV1293" s="8"/>
      <c r="GW1293" s="8"/>
      <c r="GX1293" s="8"/>
      <c r="GY1293" s="8"/>
      <c r="GZ1293" s="8"/>
      <c r="HA1293" s="8"/>
      <c r="HB1293" s="8"/>
      <c r="HC1293" s="8"/>
      <c r="HD1293" s="8"/>
      <c r="HE1293" s="8"/>
      <c r="HF1293" s="8"/>
      <c r="HG1293" s="8"/>
      <c r="HH1293" s="8"/>
      <c r="HI1293" s="8"/>
      <c r="HJ1293" s="8"/>
      <c r="HK1293" s="8"/>
      <c r="HL1293" s="8"/>
      <c r="HM1293" s="8"/>
      <c r="HN1293" s="8"/>
      <c r="HO1293" s="8"/>
      <c r="HP1293" s="8"/>
      <c r="HQ1293" s="8"/>
      <c r="HR1293" s="8"/>
      <c r="HS1293" s="8"/>
      <c r="HT1293" s="8"/>
      <c r="HU1293" s="8"/>
      <c r="HV1293" s="8"/>
      <c r="HW1293" s="8"/>
      <c r="HX1293" s="8"/>
      <c r="HY1293" s="8"/>
      <c r="HZ1293" s="8"/>
      <c r="IA1293" s="8"/>
      <c r="IB1293" s="8"/>
      <c r="IC1293" s="8"/>
      <c r="ID1293" s="8"/>
      <c r="IE1293" s="8"/>
      <c r="IF1293" s="8"/>
    </row>
    <row r="1294" spans="1:240" ht="30" customHeight="1">
      <c r="A1294" s="5">
        <v>1292</v>
      </c>
      <c r="B1294" s="5"/>
      <c r="C1294" s="5"/>
      <c r="D1294" s="5" t="s">
        <v>68</v>
      </c>
      <c r="E1294" s="5">
        <v>2400</v>
      </c>
      <c r="F1294" s="5">
        <v>2100</v>
      </c>
      <c r="G1294" s="5">
        <v>3050</v>
      </c>
      <c r="H1294" s="5">
        <v>1300</v>
      </c>
      <c r="I1294" s="5" t="s">
        <v>13</v>
      </c>
      <c r="J1294" s="15">
        <f>4*95/4.4</f>
        <v>86.36363636363636</v>
      </c>
      <c r="K1294" s="17">
        <f t="shared" si="38"/>
        <v>4.1670000000000016</v>
      </c>
      <c r="L1294" s="15">
        <f>95*3782*4.1868/3600</f>
        <v>417.85426999999999</v>
      </c>
      <c r="M1294" s="5">
        <f t="shared" si="39"/>
        <v>3.8890000000000029</v>
      </c>
      <c r="N1294" s="5"/>
      <c r="O1294" s="5">
        <f>23450*1.6978*R1294</f>
        <v>39813.409999999996</v>
      </c>
      <c r="P1294" s="5"/>
      <c r="Q1294" s="5"/>
      <c r="R1294" s="5">
        <v>1</v>
      </c>
      <c r="S1294" s="5">
        <v>1000</v>
      </c>
      <c r="T1294" s="5"/>
      <c r="U1294" s="5">
        <v>960</v>
      </c>
      <c r="V1294" s="15">
        <f>0.7457*5*R1294</f>
        <v>3.7285000000000004</v>
      </c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8"/>
      <c r="AP1294" s="8"/>
      <c r="AQ1294" s="8"/>
      <c r="AR1294" s="8"/>
      <c r="AS1294" s="8"/>
      <c r="AT1294" s="8"/>
      <c r="AU1294" s="8"/>
      <c r="AV1294" s="8"/>
      <c r="AW1294" s="8"/>
      <c r="AX1294" s="8"/>
      <c r="AY1294" s="8"/>
      <c r="AZ1294" s="8"/>
      <c r="BA1294" s="8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8"/>
      <c r="BS1294" s="8"/>
      <c r="BT1294" s="8"/>
      <c r="BU1294" s="8"/>
      <c r="BV1294" s="8"/>
      <c r="BW1294" s="8"/>
      <c r="BX1294" s="8"/>
      <c r="BY1294" s="8"/>
      <c r="BZ1294" s="8"/>
      <c r="CA1294" s="8"/>
      <c r="CB1294" s="8"/>
      <c r="CC1294" s="8"/>
      <c r="CD1294" s="8"/>
      <c r="CE1294" s="8"/>
      <c r="CF1294" s="8"/>
      <c r="CG1294" s="8"/>
      <c r="CH1294" s="8"/>
      <c r="CI1294" s="8"/>
      <c r="CJ1294" s="8"/>
      <c r="CK1294" s="8"/>
      <c r="CL1294" s="8"/>
      <c r="CM1294" s="8"/>
      <c r="CN1294" s="8"/>
      <c r="CO1294" s="8"/>
      <c r="CP1294" s="8"/>
      <c r="CQ1294" s="8"/>
      <c r="CR1294" s="8"/>
      <c r="CS1294" s="8"/>
      <c r="CT1294" s="8"/>
      <c r="CU1294" s="8"/>
      <c r="CV1294" s="8"/>
      <c r="CW1294" s="8"/>
      <c r="CX1294" s="8"/>
      <c r="CY1294" s="8"/>
      <c r="CZ1294" s="8"/>
      <c r="DA1294" s="8"/>
      <c r="DB1294" s="8"/>
      <c r="DC1294" s="8"/>
      <c r="DD1294" s="8"/>
      <c r="DE1294" s="8"/>
      <c r="DF1294" s="8"/>
      <c r="DG1294" s="8"/>
      <c r="DH1294" s="8"/>
      <c r="DI1294" s="8"/>
      <c r="DJ1294" s="8"/>
      <c r="DK1294" s="8"/>
      <c r="DL1294" s="8"/>
      <c r="DM1294" s="8"/>
      <c r="DN1294" s="8"/>
      <c r="DO1294" s="8"/>
      <c r="DP1294" s="8"/>
      <c r="DQ1294" s="8"/>
      <c r="DR1294" s="8"/>
      <c r="DS1294" s="8"/>
      <c r="DT1294" s="8"/>
      <c r="DU1294" s="8"/>
      <c r="DV1294" s="8"/>
      <c r="DW1294" s="8"/>
      <c r="DX1294" s="8"/>
      <c r="DY1294" s="8"/>
      <c r="DZ1294" s="8"/>
      <c r="EA1294" s="8"/>
      <c r="EB1294" s="8"/>
      <c r="EC1294" s="8"/>
      <c r="ED1294" s="8"/>
      <c r="EE1294" s="8"/>
      <c r="EF1294" s="8"/>
      <c r="EG1294" s="8"/>
      <c r="EH1294" s="8"/>
      <c r="EI1294" s="8"/>
      <c r="EJ1294" s="8"/>
      <c r="EK1294" s="8"/>
      <c r="EL1294" s="8"/>
      <c r="EM1294" s="8"/>
      <c r="EN1294" s="8"/>
      <c r="EO1294" s="8"/>
      <c r="EP1294" s="8"/>
      <c r="EQ1294" s="8"/>
      <c r="ER1294" s="8"/>
      <c r="ES1294" s="8"/>
      <c r="ET1294" s="8"/>
      <c r="EU1294" s="8"/>
      <c r="EV1294" s="8"/>
      <c r="EW1294" s="8"/>
      <c r="EX1294" s="8"/>
      <c r="EY1294" s="8"/>
      <c r="EZ1294" s="8"/>
      <c r="FA1294" s="8"/>
      <c r="FB1294" s="8"/>
      <c r="FC1294" s="8"/>
      <c r="FD1294" s="8"/>
      <c r="FE1294" s="8"/>
      <c r="FF1294" s="8"/>
      <c r="FG1294" s="8"/>
      <c r="FH1294" s="8"/>
      <c r="FI1294" s="8"/>
      <c r="FJ1294" s="8"/>
      <c r="FK1294" s="8"/>
      <c r="FL1294" s="8"/>
      <c r="FM1294" s="8"/>
      <c r="FN1294" s="8"/>
      <c r="FO1294" s="8"/>
      <c r="FP1294" s="8"/>
      <c r="FQ1294" s="8"/>
      <c r="FR1294" s="8"/>
      <c r="FS1294" s="8"/>
      <c r="FT1294" s="8"/>
      <c r="FU1294" s="8"/>
      <c r="FV1294" s="8"/>
      <c r="FW1294" s="8"/>
      <c r="FX1294" s="8"/>
      <c r="FY1294" s="8"/>
      <c r="FZ1294" s="8"/>
      <c r="GA1294" s="8"/>
      <c r="GB1294" s="8"/>
      <c r="GC1294" s="8"/>
      <c r="GD1294" s="8"/>
      <c r="GE1294" s="8"/>
      <c r="GF1294" s="8"/>
      <c r="GG1294" s="8"/>
      <c r="GH1294" s="8"/>
      <c r="GI1294" s="8"/>
      <c r="GJ1294" s="8"/>
      <c r="GK1294" s="8"/>
      <c r="GL1294" s="8"/>
      <c r="GM1294" s="8"/>
      <c r="GN1294" s="8"/>
      <c r="GO1294" s="8"/>
      <c r="GP1294" s="8"/>
      <c r="GQ1294" s="8"/>
      <c r="GR1294" s="8"/>
      <c r="GS1294" s="8"/>
      <c r="GT1294" s="8"/>
      <c r="GU1294" s="8"/>
      <c r="GV1294" s="8"/>
      <c r="GW1294" s="8"/>
      <c r="GX1294" s="8"/>
      <c r="GY1294" s="8"/>
      <c r="GZ1294" s="8"/>
      <c r="HA1294" s="8"/>
      <c r="HB1294" s="8"/>
      <c r="HC1294" s="8"/>
      <c r="HD1294" s="8"/>
      <c r="HE1294" s="8"/>
      <c r="HF1294" s="8"/>
      <c r="HG1294" s="8"/>
      <c r="HH1294" s="8"/>
      <c r="HI1294" s="8"/>
      <c r="HJ1294" s="8"/>
      <c r="HK1294" s="8"/>
      <c r="HL1294" s="8"/>
      <c r="HM1294" s="8"/>
      <c r="HN1294" s="8"/>
      <c r="HO1294" s="8"/>
      <c r="HP1294" s="8"/>
      <c r="HQ1294" s="8"/>
      <c r="HR1294" s="8"/>
      <c r="HS1294" s="8"/>
      <c r="HT1294" s="8"/>
      <c r="HU1294" s="8"/>
      <c r="HV1294" s="8"/>
      <c r="HW1294" s="8"/>
      <c r="HX1294" s="8"/>
      <c r="HY1294" s="8"/>
      <c r="HZ1294" s="8"/>
      <c r="IA1294" s="8"/>
      <c r="IB1294" s="8"/>
      <c r="IC1294" s="8"/>
      <c r="ID1294" s="8"/>
      <c r="IE1294" s="8"/>
      <c r="IF1294" s="8"/>
    </row>
    <row r="1295" spans="1:240" ht="30" customHeight="1">
      <c r="A1295" s="5">
        <v>1293</v>
      </c>
      <c r="B1295" s="5"/>
      <c r="C1295" s="5"/>
      <c r="D1295" s="5" t="s">
        <v>68</v>
      </c>
      <c r="E1295" s="5">
        <v>2400</v>
      </c>
      <c r="F1295" s="5">
        <v>2250</v>
      </c>
      <c r="G1295" s="5">
        <v>3050</v>
      </c>
      <c r="H1295" s="5">
        <v>1440</v>
      </c>
      <c r="I1295" s="5" t="s">
        <v>13</v>
      </c>
      <c r="J1295" s="15">
        <f>4*100/4.4</f>
        <v>90.909090909090907</v>
      </c>
      <c r="K1295" s="17">
        <f t="shared" si="38"/>
        <v>4.1670000000000016</v>
      </c>
      <c r="L1295" s="15">
        <f>100*3782*4.1868/3600</f>
        <v>439.84660000000002</v>
      </c>
      <c r="M1295" s="5">
        <f t="shared" si="39"/>
        <v>3.8890000000000029</v>
      </c>
      <c r="N1295" s="5"/>
      <c r="O1295" s="5">
        <f>25100*1.6978*R1295</f>
        <v>42614.78</v>
      </c>
      <c r="P1295" s="5"/>
      <c r="Q1295" s="5"/>
      <c r="R1295" s="5">
        <v>1</v>
      </c>
      <c r="S1295" s="5">
        <v>1000</v>
      </c>
      <c r="T1295" s="5"/>
      <c r="U1295" s="5">
        <v>960</v>
      </c>
      <c r="V1295" s="15">
        <f>0.7457*5*R1295</f>
        <v>3.7285000000000004</v>
      </c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8"/>
      <c r="BS1295" s="8"/>
      <c r="BT1295" s="8"/>
      <c r="BU1295" s="8"/>
      <c r="BV1295" s="8"/>
      <c r="BW1295" s="8"/>
      <c r="BX1295" s="8"/>
      <c r="BY1295" s="8"/>
      <c r="BZ1295" s="8"/>
      <c r="CA1295" s="8"/>
      <c r="CB1295" s="8"/>
      <c r="CC1295" s="8"/>
      <c r="CD1295" s="8"/>
      <c r="CE1295" s="8"/>
      <c r="CF1295" s="8"/>
      <c r="CG1295" s="8"/>
      <c r="CH1295" s="8"/>
      <c r="CI1295" s="8"/>
      <c r="CJ1295" s="8"/>
      <c r="CK1295" s="8"/>
      <c r="CL1295" s="8"/>
      <c r="CM1295" s="8"/>
      <c r="CN1295" s="8"/>
      <c r="CO1295" s="8"/>
      <c r="CP1295" s="8"/>
      <c r="CQ1295" s="8"/>
      <c r="CR1295" s="8"/>
      <c r="CS1295" s="8"/>
      <c r="CT1295" s="8"/>
      <c r="CU1295" s="8"/>
      <c r="CV1295" s="8"/>
      <c r="CW1295" s="8"/>
      <c r="CX1295" s="8"/>
      <c r="CY1295" s="8"/>
      <c r="CZ1295" s="8"/>
      <c r="DA1295" s="8"/>
      <c r="DB1295" s="8"/>
      <c r="DC1295" s="8"/>
      <c r="DD1295" s="8"/>
      <c r="DE1295" s="8"/>
      <c r="DF1295" s="8"/>
      <c r="DG1295" s="8"/>
      <c r="DH1295" s="8"/>
      <c r="DI1295" s="8"/>
      <c r="DJ1295" s="8"/>
      <c r="DK1295" s="8"/>
      <c r="DL1295" s="8"/>
      <c r="DM1295" s="8"/>
      <c r="DN1295" s="8"/>
      <c r="DO1295" s="8"/>
      <c r="DP1295" s="8"/>
      <c r="DQ1295" s="8"/>
      <c r="DR1295" s="8"/>
      <c r="DS1295" s="8"/>
      <c r="DT1295" s="8"/>
      <c r="DU1295" s="8"/>
      <c r="DV1295" s="8"/>
      <c r="DW1295" s="8"/>
      <c r="DX1295" s="8"/>
      <c r="DY1295" s="8"/>
      <c r="DZ1295" s="8"/>
      <c r="EA1295" s="8"/>
      <c r="EB1295" s="8"/>
      <c r="EC1295" s="8"/>
      <c r="ED1295" s="8"/>
      <c r="EE1295" s="8"/>
      <c r="EF1295" s="8"/>
      <c r="EG1295" s="8"/>
      <c r="EH1295" s="8"/>
      <c r="EI1295" s="8"/>
      <c r="EJ1295" s="8"/>
      <c r="EK1295" s="8"/>
      <c r="EL1295" s="8"/>
      <c r="EM1295" s="8"/>
      <c r="EN1295" s="8"/>
      <c r="EO1295" s="8"/>
      <c r="EP1295" s="8"/>
      <c r="EQ1295" s="8"/>
      <c r="ER1295" s="8"/>
      <c r="ES1295" s="8"/>
      <c r="ET1295" s="8"/>
      <c r="EU1295" s="8"/>
      <c r="EV1295" s="8"/>
      <c r="EW1295" s="8"/>
      <c r="EX1295" s="8"/>
      <c r="EY1295" s="8"/>
      <c r="EZ1295" s="8"/>
      <c r="FA1295" s="8"/>
      <c r="FB1295" s="8"/>
      <c r="FC1295" s="8"/>
      <c r="FD1295" s="8"/>
      <c r="FE1295" s="8"/>
      <c r="FF1295" s="8"/>
      <c r="FG1295" s="8"/>
      <c r="FH1295" s="8"/>
      <c r="FI1295" s="8"/>
      <c r="FJ1295" s="8"/>
      <c r="FK1295" s="8"/>
      <c r="FL1295" s="8"/>
      <c r="FM1295" s="8"/>
      <c r="FN1295" s="8"/>
      <c r="FO1295" s="8"/>
      <c r="FP1295" s="8"/>
      <c r="FQ1295" s="8"/>
      <c r="FR1295" s="8"/>
      <c r="FS1295" s="8"/>
      <c r="FT1295" s="8"/>
      <c r="FU1295" s="8"/>
      <c r="FV1295" s="8"/>
      <c r="FW1295" s="8"/>
      <c r="FX1295" s="8"/>
      <c r="FY1295" s="8"/>
      <c r="FZ1295" s="8"/>
      <c r="GA1295" s="8"/>
      <c r="GB1295" s="8"/>
      <c r="GC1295" s="8"/>
      <c r="GD1295" s="8"/>
      <c r="GE1295" s="8"/>
      <c r="GF1295" s="8"/>
      <c r="GG1295" s="8"/>
      <c r="GH1295" s="8"/>
      <c r="GI1295" s="8"/>
      <c r="GJ1295" s="8"/>
      <c r="GK1295" s="8"/>
      <c r="GL1295" s="8"/>
      <c r="GM1295" s="8"/>
      <c r="GN1295" s="8"/>
      <c r="GO1295" s="8"/>
      <c r="GP1295" s="8"/>
      <c r="GQ1295" s="8"/>
      <c r="GR1295" s="8"/>
      <c r="GS1295" s="8"/>
      <c r="GT1295" s="8"/>
      <c r="GU1295" s="8"/>
      <c r="GV1295" s="8"/>
      <c r="GW1295" s="8"/>
      <c r="GX1295" s="8"/>
      <c r="GY1295" s="8"/>
      <c r="GZ1295" s="8"/>
      <c r="HA1295" s="8"/>
      <c r="HB1295" s="8"/>
      <c r="HC1295" s="8"/>
      <c r="HD1295" s="8"/>
      <c r="HE1295" s="8"/>
      <c r="HF1295" s="8"/>
      <c r="HG1295" s="8"/>
      <c r="HH1295" s="8"/>
      <c r="HI1295" s="8"/>
      <c r="HJ1295" s="8"/>
      <c r="HK1295" s="8"/>
      <c r="HL1295" s="8"/>
      <c r="HM1295" s="8"/>
      <c r="HN1295" s="8"/>
      <c r="HO1295" s="8"/>
      <c r="HP1295" s="8"/>
      <c r="HQ1295" s="8"/>
      <c r="HR1295" s="8"/>
      <c r="HS1295" s="8"/>
      <c r="HT1295" s="8"/>
      <c r="HU1295" s="8"/>
      <c r="HV1295" s="8"/>
      <c r="HW1295" s="8"/>
      <c r="HX1295" s="8"/>
      <c r="HY1295" s="8"/>
      <c r="HZ1295" s="8"/>
      <c r="IA1295" s="8"/>
      <c r="IB1295" s="8"/>
      <c r="IC1295" s="8"/>
      <c r="ID1295" s="8"/>
      <c r="IE1295" s="8"/>
      <c r="IF1295" s="8"/>
    </row>
    <row r="1296" spans="1:240" ht="30" customHeight="1">
      <c r="A1296" s="5">
        <v>1294</v>
      </c>
      <c r="B1296" s="5"/>
      <c r="C1296" s="5"/>
      <c r="D1296" s="5" t="s">
        <v>68</v>
      </c>
      <c r="E1296" s="5">
        <v>2400</v>
      </c>
      <c r="F1296" s="5">
        <v>2700</v>
      </c>
      <c r="G1296" s="5">
        <v>3050</v>
      </c>
      <c r="H1296" s="5">
        <v>1720</v>
      </c>
      <c r="I1296" s="5" t="s">
        <v>13</v>
      </c>
      <c r="J1296" s="15">
        <f>4*120/4.4</f>
        <v>109.09090909090908</v>
      </c>
      <c r="K1296" s="17">
        <f t="shared" si="38"/>
        <v>4.1670000000000016</v>
      </c>
      <c r="L1296" s="15">
        <f>120*3782*4.1868/3600</f>
        <v>527.81592000000001</v>
      </c>
      <c r="M1296" s="5">
        <f t="shared" si="39"/>
        <v>3.8890000000000029</v>
      </c>
      <c r="N1296" s="5"/>
      <c r="O1296" s="5">
        <f>30150*1.6978*R1296</f>
        <v>51188.67</v>
      </c>
      <c r="P1296" s="5"/>
      <c r="Q1296" s="5"/>
      <c r="R1296" s="5">
        <v>1</v>
      </c>
      <c r="S1296" s="5">
        <v>1200</v>
      </c>
      <c r="T1296" s="5"/>
      <c r="U1296" s="5">
        <v>960</v>
      </c>
      <c r="V1296" s="15">
        <f>0.7457*7.5*R1296</f>
        <v>5.5927500000000006</v>
      </c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8"/>
      <c r="AP1296" s="8"/>
      <c r="AQ1296" s="8"/>
      <c r="AR1296" s="8"/>
      <c r="AS1296" s="8"/>
      <c r="AT1296" s="8"/>
      <c r="AU1296" s="8"/>
      <c r="AV1296" s="8"/>
      <c r="AW1296" s="8"/>
      <c r="AX1296" s="8"/>
      <c r="AY1296" s="8"/>
      <c r="AZ1296" s="8"/>
      <c r="BA1296" s="8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8"/>
      <c r="BS1296" s="8"/>
      <c r="BT1296" s="8"/>
      <c r="BU1296" s="8"/>
      <c r="BV1296" s="8"/>
      <c r="BW1296" s="8"/>
      <c r="BX1296" s="8"/>
      <c r="BY1296" s="8"/>
      <c r="BZ1296" s="8"/>
      <c r="CA1296" s="8"/>
      <c r="CB1296" s="8"/>
      <c r="CC1296" s="8"/>
      <c r="CD1296" s="8"/>
      <c r="CE1296" s="8"/>
      <c r="CF1296" s="8"/>
      <c r="CG1296" s="8"/>
      <c r="CH1296" s="8"/>
      <c r="CI1296" s="8"/>
      <c r="CJ1296" s="8"/>
      <c r="CK1296" s="8"/>
      <c r="CL1296" s="8"/>
      <c r="CM1296" s="8"/>
      <c r="CN1296" s="8"/>
      <c r="CO1296" s="8"/>
      <c r="CP1296" s="8"/>
      <c r="CQ1296" s="8"/>
      <c r="CR1296" s="8"/>
      <c r="CS1296" s="8"/>
      <c r="CT1296" s="8"/>
      <c r="CU1296" s="8"/>
      <c r="CV1296" s="8"/>
      <c r="CW1296" s="8"/>
      <c r="CX1296" s="8"/>
      <c r="CY1296" s="8"/>
      <c r="CZ1296" s="8"/>
      <c r="DA1296" s="8"/>
      <c r="DB1296" s="8"/>
      <c r="DC1296" s="8"/>
      <c r="DD1296" s="8"/>
      <c r="DE1296" s="8"/>
      <c r="DF1296" s="8"/>
      <c r="DG1296" s="8"/>
      <c r="DH1296" s="8"/>
      <c r="DI1296" s="8"/>
      <c r="DJ1296" s="8"/>
      <c r="DK1296" s="8"/>
      <c r="DL1296" s="8"/>
      <c r="DM1296" s="8"/>
      <c r="DN1296" s="8"/>
      <c r="DO1296" s="8"/>
      <c r="DP1296" s="8"/>
      <c r="DQ1296" s="8"/>
      <c r="DR1296" s="8"/>
      <c r="DS1296" s="8"/>
      <c r="DT1296" s="8"/>
      <c r="DU1296" s="8"/>
      <c r="DV1296" s="8"/>
      <c r="DW1296" s="8"/>
      <c r="DX1296" s="8"/>
      <c r="DY1296" s="8"/>
      <c r="DZ1296" s="8"/>
      <c r="EA1296" s="8"/>
      <c r="EB1296" s="8"/>
      <c r="EC1296" s="8"/>
      <c r="ED1296" s="8"/>
      <c r="EE1296" s="8"/>
      <c r="EF1296" s="8"/>
      <c r="EG1296" s="8"/>
      <c r="EH1296" s="8"/>
      <c r="EI1296" s="8"/>
      <c r="EJ1296" s="8"/>
      <c r="EK1296" s="8"/>
      <c r="EL1296" s="8"/>
      <c r="EM1296" s="8"/>
      <c r="EN1296" s="8"/>
      <c r="EO1296" s="8"/>
      <c r="EP1296" s="8"/>
      <c r="EQ1296" s="8"/>
      <c r="ER1296" s="8"/>
      <c r="ES1296" s="8"/>
      <c r="ET1296" s="8"/>
      <c r="EU1296" s="8"/>
      <c r="EV1296" s="8"/>
      <c r="EW1296" s="8"/>
      <c r="EX1296" s="8"/>
      <c r="EY1296" s="8"/>
      <c r="EZ1296" s="8"/>
      <c r="FA1296" s="8"/>
      <c r="FB1296" s="8"/>
      <c r="FC1296" s="8"/>
      <c r="FD1296" s="8"/>
      <c r="FE1296" s="8"/>
      <c r="FF1296" s="8"/>
      <c r="FG1296" s="8"/>
      <c r="FH1296" s="8"/>
      <c r="FI1296" s="8"/>
      <c r="FJ1296" s="8"/>
      <c r="FK1296" s="8"/>
      <c r="FL1296" s="8"/>
      <c r="FM1296" s="8"/>
      <c r="FN1296" s="8"/>
      <c r="FO1296" s="8"/>
      <c r="FP1296" s="8"/>
      <c r="FQ1296" s="8"/>
      <c r="FR1296" s="8"/>
      <c r="FS1296" s="8"/>
      <c r="FT1296" s="8"/>
      <c r="FU1296" s="8"/>
      <c r="FV1296" s="8"/>
      <c r="FW1296" s="8"/>
      <c r="FX1296" s="8"/>
      <c r="FY1296" s="8"/>
      <c r="FZ1296" s="8"/>
      <c r="GA1296" s="8"/>
      <c r="GB1296" s="8"/>
      <c r="GC1296" s="8"/>
      <c r="GD1296" s="8"/>
      <c r="GE1296" s="8"/>
      <c r="GF1296" s="8"/>
      <c r="GG1296" s="8"/>
      <c r="GH1296" s="8"/>
      <c r="GI1296" s="8"/>
      <c r="GJ1296" s="8"/>
      <c r="GK1296" s="8"/>
      <c r="GL1296" s="8"/>
      <c r="GM1296" s="8"/>
      <c r="GN1296" s="8"/>
      <c r="GO1296" s="8"/>
      <c r="GP1296" s="8"/>
      <c r="GQ1296" s="8"/>
      <c r="GR1296" s="8"/>
      <c r="GS1296" s="8"/>
      <c r="GT1296" s="8"/>
      <c r="GU1296" s="8"/>
      <c r="GV1296" s="8"/>
      <c r="GW1296" s="8"/>
      <c r="GX1296" s="8"/>
      <c r="GY1296" s="8"/>
      <c r="GZ1296" s="8"/>
      <c r="HA1296" s="8"/>
      <c r="HB1296" s="8"/>
      <c r="HC1296" s="8"/>
      <c r="HD1296" s="8"/>
      <c r="HE1296" s="8"/>
      <c r="HF1296" s="8"/>
      <c r="HG1296" s="8"/>
      <c r="HH1296" s="8"/>
      <c r="HI1296" s="8"/>
      <c r="HJ1296" s="8"/>
      <c r="HK1296" s="8"/>
      <c r="HL1296" s="8"/>
      <c r="HM1296" s="8"/>
      <c r="HN1296" s="8"/>
      <c r="HO1296" s="8"/>
      <c r="HP1296" s="8"/>
      <c r="HQ1296" s="8"/>
      <c r="HR1296" s="8"/>
      <c r="HS1296" s="8"/>
      <c r="HT1296" s="8"/>
      <c r="HU1296" s="8"/>
      <c r="HV1296" s="8"/>
      <c r="HW1296" s="8"/>
      <c r="HX1296" s="8"/>
      <c r="HY1296" s="8"/>
      <c r="HZ1296" s="8"/>
      <c r="IA1296" s="8"/>
      <c r="IB1296" s="8"/>
      <c r="IC1296" s="8"/>
      <c r="ID1296" s="8"/>
      <c r="IE1296" s="8"/>
      <c r="IF1296" s="8"/>
    </row>
    <row r="1297" spans="1:240" ht="30" customHeight="1">
      <c r="A1297" s="5">
        <v>1295</v>
      </c>
      <c r="B1297" s="5"/>
      <c r="C1297" s="5"/>
      <c r="D1297" s="5" t="s">
        <v>68</v>
      </c>
      <c r="E1297" s="5">
        <v>3000</v>
      </c>
      <c r="F1297" s="5">
        <v>2400</v>
      </c>
      <c r="G1297" s="5">
        <v>3050</v>
      </c>
      <c r="H1297" s="5">
        <v>1890</v>
      </c>
      <c r="I1297" s="5" t="s">
        <v>13</v>
      </c>
      <c r="J1297" s="15">
        <f>4*135/4.4</f>
        <v>122.72727272727272</v>
      </c>
      <c r="K1297" s="17">
        <f t="shared" si="38"/>
        <v>4.1670000000000016</v>
      </c>
      <c r="L1297" s="15">
        <f>135*3782*4.1868/3600</f>
        <v>593.79290999999989</v>
      </c>
      <c r="M1297" s="5">
        <f t="shared" si="39"/>
        <v>3.8890000000000029</v>
      </c>
      <c r="N1297" s="5"/>
      <c r="O1297" s="5">
        <f>33500*1.6978*R1297</f>
        <v>56876.299999999996</v>
      </c>
      <c r="P1297" s="5"/>
      <c r="Q1297" s="5"/>
      <c r="R1297" s="5">
        <v>1</v>
      </c>
      <c r="S1297" s="5">
        <v>1200</v>
      </c>
      <c r="T1297" s="5"/>
      <c r="U1297" s="5">
        <v>960</v>
      </c>
      <c r="V1297" s="15">
        <f t="shared" si="40"/>
        <v>5.5927500000000006</v>
      </c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8"/>
      <c r="AP1297" s="8"/>
      <c r="AQ1297" s="8"/>
      <c r="AR1297" s="8"/>
      <c r="AS1297" s="8"/>
      <c r="AT1297" s="8"/>
      <c r="AU1297" s="8"/>
      <c r="AV1297" s="8"/>
      <c r="AW1297" s="8"/>
      <c r="AX1297" s="8"/>
      <c r="AY1297" s="8"/>
      <c r="AZ1297" s="8"/>
      <c r="BA1297" s="8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8"/>
      <c r="BS1297" s="8"/>
      <c r="BT1297" s="8"/>
      <c r="BU1297" s="8"/>
      <c r="BV1297" s="8"/>
      <c r="BW1297" s="8"/>
      <c r="BX1297" s="8"/>
      <c r="BY1297" s="8"/>
      <c r="BZ1297" s="8"/>
      <c r="CA1297" s="8"/>
      <c r="CB1297" s="8"/>
      <c r="CC1297" s="8"/>
      <c r="CD1297" s="8"/>
      <c r="CE1297" s="8"/>
      <c r="CF1297" s="8"/>
      <c r="CG1297" s="8"/>
      <c r="CH1297" s="8"/>
      <c r="CI1297" s="8"/>
      <c r="CJ1297" s="8"/>
      <c r="CK1297" s="8"/>
      <c r="CL1297" s="8"/>
      <c r="CM1297" s="8"/>
      <c r="CN1297" s="8"/>
      <c r="CO1297" s="8"/>
      <c r="CP1297" s="8"/>
      <c r="CQ1297" s="8"/>
      <c r="CR1297" s="8"/>
      <c r="CS1297" s="8"/>
      <c r="CT1297" s="8"/>
      <c r="CU1297" s="8"/>
      <c r="CV1297" s="8"/>
      <c r="CW1297" s="8"/>
      <c r="CX1297" s="8"/>
      <c r="CY1297" s="8"/>
      <c r="CZ1297" s="8"/>
      <c r="DA1297" s="8"/>
      <c r="DB1297" s="8"/>
      <c r="DC1297" s="8"/>
      <c r="DD1297" s="8"/>
      <c r="DE1297" s="8"/>
      <c r="DF1297" s="8"/>
      <c r="DG1297" s="8"/>
      <c r="DH1297" s="8"/>
      <c r="DI1297" s="8"/>
      <c r="DJ1297" s="8"/>
      <c r="DK1297" s="8"/>
      <c r="DL1297" s="8"/>
      <c r="DM1297" s="8"/>
      <c r="DN1297" s="8"/>
      <c r="DO1297" s="8"/>
      <c r="DP1297" s="8"/>
      <c r="DQ1297" s="8"/>
      <c r="DR1297" s="8"/>
      <c r="DS1297" s="8"/>
      <c r="DT1297" s="8"/>
      <c r="DU1297" s="8"/>
      <c r="DV1297" s="8"/>
      <c r="DW1297" s="8"/>
      <c r="DX1297" s="8"/>
      <c r="DY1297" s="8"/>
      <c r="DZ1297" s="8"/>
      <c r="EA1297" s="8"/>
      <c r="EB1297" s="8"/>
      <c r="EC1297" s="8"/>
      <c r="ED1297" s="8"/>
      <c r="EE1297" s="8"/>
      <c r="EF1297" s="8"/>
      <c r="EG1297" s="8"/>
      <c r="EH1297" s="8"/>
      <c r="EI1297" s="8"/>
      <c r="EJ1297" s="8"/>
      <c r="EK1297" s="8"/>
      <c r="EL1297" s="8"/>
      <c r="EM1297" s="8"/>
      <c r="EN1297" s="8"/>
      <c r="EO1297" s="8"/>
      <c r="EP1297" s="8"/>
      <c r="EQ1297" s="8"/>
      <c r="ER1297" s="8"/>
      <c r="ES1297" s="8"/>
      <c r="ET1297" s="8"/>
      <c r="EU1297" s="8"/>
      <c r="EV1297" s="8"/>
      <c r="EW1297" s="8"/>
      <c r="EX1297" s="8"/>
      <c r="EY1297" s="8"/>
      <c r="EZ1297" s="8"/>
      <c r="FA1297" s="8"/>
      <c r="FB1297" s="8"/>
      <c r="FC1297" s="8"/>
      <c r="FD1297" s="8"/>
      <c r="FE1297" s="8"/>
      <c r="FF1297" s="8"/>
      <c r="FG1297" s="8"/>
      <c r="FH1297" s="8"/>
      <c r="FI1297" s="8"/>
      <c r="FJ1297" s="8"/>
      <c r="FK1297" s="8"/>
      <c r="FL1297" s="8"/>
      <c r="FM1297" s="8"/>
      <c r="FN1297" s="8"/>
      <c r="FO1297" s="8"/>
      <c r="FP1297" s="8"/>
      <c r="FQ1297" s="8"/>
      <c r="FR1297" s="8"/>
      <c r="FS1297" s="8"/>
      <c r="FT1297" s="8"/>
      <c r="FU1297" s="8"/>
      <c r="FV1297" s="8"/>
      <c r="FW1297" s="8"/>
      <c r="FX1297" s="8"/>
      <c r="FY1297" s="8"/>
      <c r="FZ1297" s="8"/>
      <c r="GA1297" s="8"/>
      <c r="GB1297" s="8"/>
      <c r="GC1297" s="8"/>
      <c r="GD1297" s="8"/>
      <c r="GE1297" s="8"/>
      <c r="GF1297" s="8"/>
      <c r="GG1297" s="8"/>
      <c r="GH1297" s="8"/>
      <c r="GI1297" s="8"/>
      <c r="GJ1297" s="8"/>
      <c r="GK1297" s="8"/>
      <c r="GL1297" s="8"/>
      <c r="GM1297" s="8"/>
      <c r="GN1297" s="8"/>
      <c r="GO1297" s="8"/>
      <c r="GP1297" s="8"/>
      <c r="GQ1297" s="8"/>
      <c r="GR1297" s="8"/>
      <c r="GS1297" s="8"/>
      <c r="GT1297" s="8"/>
      <c r="GU1297" s="8"/>
      <c r="GV1297" s="8"/>
      <c r="GW1297" s="8"/>
      <c r="GX1297" s="8"/>
      <c r="GY1297" s="8"/>
      <c r="GZ1297" s="8"/>
      <c r="HA1297" s="8"/>
      <c r="HB1297" s="8"/>
      <c r="HC1297" s="8"/>
      <c r="HD1297" s="8"/>
      <c r="HE1297" s="8"/>
      <c r="HF1297" s="8"/>
      <c r="HG1297" s="8"/>
      <c r="HH1297" s="8"/>
      <c r="HI1297" s="8"/>
      <c r="HJ1297" s="8"/>
      <c r="HK1297" s="8"/>
      <c r="HL1297" s="8"/>
      <c r="HM1297" s="8"/>
      <c r="HN1297" s="8"/>
      <c r="HO1297" s="8"/>
      <c r="HP1297" s="8"/>
      <c r="HQ1297" s="8"/>
      <c r="HR1297" s="8"/>
      <c r="HS1297" s="8"/>
      <c r="HT1297" s="8"/>
      <c r="HU1297" s="8"/>
      <c r="HV1297" s="8"/>
      <c r="HW1297" s="8"/>
      <c r="HX1297" s="8"/>
      <c r="HY1297" s="8"/>
      <c r="HZ1297" s="8"/>
      <c r="IA1297" s="8"/>
      <c r="IB1297" s="8"/>
      <c r="IC1297" s="8"/>
      <c r="ID1297" s="8"/>
      <c r="IE1297" s="8"/>
      <c r="IF1297" s="8"/>
    </row>
    <row r="1298" spans="1:240" ht="30" customHeight="1">
      <c r="A1298" s="5">
        <v>1296</v>
      </c>
      <c r="B1298" s="5"/>
      <c r="C1298" s="5"/>
      <c r="D1298" s="5" t="s">
        <v>68</v>
      </c>
      <c r="E1298" s="5">
        <v>3000</v>
      </c>
      <c r="F1298" s="5">
        <v>2700</v>
      </c>
      <c r="G1298" s="5">
        <v>3050</v>
      </c>
      <c r="H1298" s="5">
        <v>2130</v>
      </c>
      <c r="I1298" s="5" t="s">
        <v>13</v>
      </c>
      <c r="J1298" s="15">
        <f>4*150/4.4</f>
        <v>136.36363636363635</v>
      </c>
      <c r="K1298" s="17">
        <f t="shared" si="38"/>
        <v>4.1670000000000016</v>
      </c>
      <c r="L1298" s="15">
        <f>150*3782*4.1868/3600</f>
        <v>659.76990000000001</v>
      </c>
      <c r="M1298" s="5">
        <f t="shared" si="39"/>
        <v>3.8890000000000029</v>
      </c>
      <c r="N1298" s="5"/>
      <c r="O1298" s="5">
        <f>37700*1.6978*R1298</f>
        <v>64007.06</v>
      </c>
      <c r="P1298" s="5"/>
      <c r="Q1298" s="5"/>
      <c r="R1298" s="5">
        <v>1</v>
      </c>
      <c r="S1298" s="5">
        <v>1500</v>
      </c>
      <c r="T1298" s="5"/>
      <c r="U1298" s="5">
        <v>960</v>
      </c>
      <c r="V1298" s="15">
        <f t="shared" si="40"/>
        <v>5.5927500000000006</v>
      </c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8"/>
      <c r="AP1298" s="8"/>
      <c r="AQ1298" s="8"/>
      <c r="AR1298" s="8"/>
      <c r="AS1298" s="8"/>
      <c r="AT1298" s="8"/>
      <c r="AU1298" s="8"/>
      <c r="AV1298" s="8"/>
      <c r="AW1298" s="8"/>
      <c r="AX1298" s="8"/>
      <c r="AY1298" s="8"/>
      <c r="AZ1298" s="8"/>
      <c r="BA1298" s="8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8"/>
      <c r="BS1298" s="8"/>
      <c r="BT1298" s="8"/>
      <c r="BU1298" s="8"/>
      <c r="BV1298" s="8"/>
      <c r="BW1298" s="8"/>
      <c r="BX1298" s="8"/>
      <c r="BY1298" s="8"/>
      <c r="BZ1298" s="8"/>
      <c r="CA1298" s="8"/>
      <c r="CB1298" s="8"/>
      <c r="CC1298" s="8"/>
      <c r="CD1298" s="8"/>
      <c r="CE1298" s="8"/>
      <c r="CF1298" s="8"/>
      <c r="CG1298" s="8"/>
      <c r="CH1298" s="8"/>
      <c r="CI1298" s="8"/>
      <c r="CJ1298" s="8"/>
      <c r="CK1298" s="8"/>
      <c r="CL1298" s="8"/>
      <c r="CM1298" s="8"/>
      <c r="CN1298" s="8"/>
      <c r="CO1298" s="8"/>
      <c r="CP1298" s="8"/>
      <c r="CQ1298" s="8"/>
      <c r="CR1298" s="8"/>
      <c r="CS1298" s="8"/>
      <c r="CT1298" s="8"/>
      <c r="CU1298" s="8"/>
      <c r="CV1298" s="8"/>
      <c r="CW1298" s="8"/>
      <c r="CX1298" s="8"/>
      <c r="CY1298" s="8"/>
      <c r="CZ1298" s="8"/>
      <c r="DA1298" s="8"/>
      <c r="DB1298" s="8"/>
      <c r="DC1298" s="8"/>
      <c r="DD1298" s="8"/>
      <c r="DE1298" s="8"/>
      <c r="DF1298" s="8"/>
      <c r="DG1298" s="8"/>
      <c r="DH1298" s="8"/>
      <c r="DI1298" s="8"/>
      <c r="DJ1298" s="8"/>
      <c r="DK1298" s="8"/>
      <c r="DL1298" s="8"/>
      <c r="DM1298" s="8"/>
      <c r="DN1298" s="8"/>
      <c r="DO1298" s="8"/>
      <c r="DP1298" s="8"/>
      <c r="DQ1298" s="8"/>
      <c r="DR1298" s="8"/>
      <c r="DS1298" s="8"/>
      <c r="DT1298" s="8"/>
      <c r="DU1298" s="8"/>
      <c r="DV1298" s="8"/>
      <c r="DW1298" s="8"/>
      <c r="DX1298" s="8"/>
      <c r="DY1298" s="8"/>
      <c r="DZ1298" s="8"/>
      <c r="EA1298" s="8"/>
      <c r="EB1298" s="8"/>
      <c r="EC1298" s="8"/>
      <c r="ED1298" s="8"/>
      <c r="EE1298" s="8"/>
      <c r="EF1298" s="8"/>
      <c r="EG1298" s="8"/>
      <c r="EH1298" s="8"/>
      <c r="EI1298" s="8"/>
      <c r="EJ1298" s="8"/>
      <c r="EK1298" s="8"/>
      <c r="EL1298" s="8"/>
      <c r="EM1298" s="8"/>
      <c r="EN1298" s="8"/>
      <c r="EO1298" s="8"/>
      <c r="EP1298" s="8"/>
      <c r="EQ1298" s="8"/>
      <c r="ER1298" s="8"/>
      <c r="ES1298" s="8"/>
      <c r="ET1298" s="8"/>
      <c r="EU1298" s="8"/>
      <c r="EV1298" s="8"/>
      <c r="EW1298" s="8"/>
      <c r="EX1298" s="8"/>
      <c r="EY1298" s="8"/>
      <c r="EZ1298" s="8"/>
      <c r="FA1298" s="8"/>
      <c r="FB1298" s="8"/>
      <c r="FC1298" s="8"/>
      <c r="FD1298" s="8"/>
      <c r="FE1298" s="8"/>
      <c r="FF1298" s="8"/>
      <c r="FG1298" s="8"/>
      <c r="FH1298" s="8"/>
      <c r="FI1298" s="8"/>
      <c r="FJ1298" s="8"/>
      <c r="FK1298" s="8"/>
      <c r="FL1298" s="8"/>
      <c r="FM1298" s="8"/>
      <c r="FN1298" s="8"/>
      <c r="FO1298" s="8"/>
      <c r="FP1298" s="8"/>
      <c r="FQ1298" s="8"/>
      <c r="FR1298" s="8"/>
      <c r="FS1298" s="8"/>
      <c r="FT1298" s="8"/>
      <c r="FU1298" s="8"/>
      <c r="FV1298" s="8"/>
      <c r="FW1298" s="8"/>
      <c r="FX1298" s="8"/>
      <c r="FY1298" s="8"/>
      <c r="FZ1298" s="8"/>
      <c r="GA1298" s="8"/>
      <c r="GB1298" s="8"/>
      <c r="GC1298" s="8"/>
      <c r="GD1298" s="8"/>
      <c r="GE1298" s="8"/>
      <c r="GF1298" s="8"/>
      <c r="GG1298" s="8"/>
      <c r="GH1298" s="8"/>
      <c r="GI1298" s="8"/>
      <c r="GJ1298" s="8"/>
      <c r="GK1298" s="8"/>
      <c r="GL1298" s="8"/>
      <c r="GM1298" s="8"/>
      <c r="GN1298" s="8"/>
      <c r="GO1298" s="8"/>
      <c r="GP1298" s="8"/>
      <c r="GQ1298" s="8"/>
      <c r="GR1298" s="8"/>
      <c r="GS1298" s="8"/>
      <c r="GT1298" s="8"/>
      <c r="GU1298" s="8"/>
      <c r="GV1298" s="8"/>
      <c r="GW1298" s="8"/>
      <c r="GX1298" s="8"/>
      <c r="GY1298" s="8"/>
      <c r="GZ1298" s="8"/>
      <c r="HA1298" s="8"/>
      <c r="HB1298" s="8"/>
      <c r="HC1298" s="8"/>
      <c r="HD1298" s="8"/>
      <c r="HE1298" s="8"/>
      <c r="HF1298" s="8"/>
      <c r="HG1298" s="8"/>
      <c r="HH1298" s="8"/>
      <c r="HI1298" s="8"/>
      <c r="HJ1298" s="8"/>
      <c r="HK1298" s="8"/>
      <c r="HL1298" s="8"/>
      <c r="HM1298" s="8"/>
      <c r="HN1298" s="8"/>
      <c r="HO1298" s="8"/>
      <c r="HP1298" s="8"/>
      <c r="HQ1298" s="8"/>
      <c r="HR1298" s="8"/>
      <c r="HS1298" s="8"/>
      <c r="HT1298" s="8"/>
      <c r="HU1298" s="8"/>
      <c r="HV1298" s="8"/>
      <c r="HW1298" s="8"/>
      <c r="HX1298" s="8"/>
      <c r="HY1298" s="8"/>
      <c r="HZ1298" s="8"/>
      <c r="IA1298" s="8"/>
      <c r="IB1298" s="8"/>
      <c r="IC1298" s="8"/>
      <c r="ID1298" s="8"/>
      <c r="IE1298" s="8"/>
      <c r="IF1298" s="8"/>
    </row>
    <row r="1299" spans="1:240" ht="30" customHeight="1">
      <c r="A1299" s="5">
        <v>1297</v>
      </c>
      <c r="B1299" s="5"/>
      <c r="C1299" s="5"/>
      <c r="D1299" s="5" t="s">
        <v>68</v>
      </c>
      <c r="E1299" s="5">
        <v>3000</v>
      </c>
      <c r="F1299" s="5">
        <v>3000</v>
      </c>
      <c r="G1299" s="5">
        <v>3050</v>
      </c>
      <c r="H1299" s="5">
        <v>2200</v>
      </c>
      <c r="I1299" s="5" t="s">
        <v>13</v>
      </c>
      <c r="J1299" s="15">
        <f>4*165/4.4</f>
        <v>150</v>
      </c>
      <c r="K1299" s="17">
        <f t="shared" si="38"/>
        <v>4.1670000000000016</v>
      </c>
      <c r="L1299" s="15">
        <f>165*3782*4.1868/3600</f>
        <v>725.74689000000001</v>
      </c>
      <c r="M1299" s="5">
        <f t="shared" si="39"/>
        <v>3.8890000000000029</v>
      </c>
      <c r="N1299" s="5"/>
      <c r="O1299" s="5">
        <f>41900*1.6978*R1299</f>
        <v>71137.819999999992</v>
      </c>
      <c r="P1299" s="5"/>
      <c r="Q1299" s="5"/>
      <c r="R1299" s="5">
        <v>1</v>
      </c>
      <c r="S1299" s="5">
        <v>1800</v>
      </c>
      <c r="T1299" s="5"/>
      <c r="U1299" s="5">
        <v>720</v>
      </c>
      <c r="V1299" s="15">
        <f t="shared" si="40"/>
        <v>5.5927500000000006</v>
      </c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8"/>
      <c r="AP1299" s="8"/>
      <c r="AQ1299" s="8"/>
      <c r="AR1299" s="8"/>
      <c r="AS1299" s="8"/>
      <c r="AT1299" s="8"/>
      <c r="AU1299" s="8"/>
      <c r="AV1299" s="8"/>
      <c r="AW1299" s="8"/>
      <c r="AX1299" s="8"/>
      <c r="AY1299" s="8"/>
      <c r="AZ1299" s="8"/>
      <c r="BA1299" s="8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8"/>
      <c r="BS1299" s="8"/>
      <c r="BT1299" s="8"/>
      <c r="BU1299" s="8"/>
      <c r="BV1299" s="8"/>
      <c r="BW1299" s="8"/>
      <c r="BX1299" s="8"/>
      <c r="BY1299" s="8"/>
      <c r="BZ1299" s="8"/>
      <c r="CA1299" s="8"/>
      <c r="CB1299" s="8"/>
      <c r="CC1299" s="8"/>
      <c r="CD1299" s="8"/>
      <c r="CE1299" s="8"/>
      <c r="CF1299" s="8"/>
      <c r="CG1299" s="8"/>
      <c r="CH1299" s="8"/>
      <c r="CI1299" s="8"/>
      <c r="CJ1299" s="8"/>
      <c r="CK1299" s="8"/>
      <c r="CL1299" s="8"/>
      <c r="CM1299" s="8"/>
      <c r="CN1299" s="8"/>
      <c r="CO1299" s="8"/>
      <c r="CP1299" s="8"/>
      <c r="CQ1299" s="8"/>
      <c r="CR1299" s="8"/>
      <c r="CS1299" s="8"/>
      <c r="CT1299" s="8"/>
      <c r="CU1299" s="8"/>
      <c r="CV1299" s="8"/>
      <c r="CW1299" s="8"/>
      <c r="CX1299" s="8"/>
      <c r="CY1299" s="8"/>
      <c r="CZ1299" s="8"/>
      <c r="DA1299" s="8"/>
      <c r="DB1299" s="8"/>
      <c r="DC1299" s="8"/>
      <c r="DD1299" s="8"/>
      <c r="DE1299" s="8"/>
      <c r="DF1299" s="8"/>
      <c r="DG1299" s="8"/>
      <c r="DH1299" s="8"/>
      <c r="DI1299" s="8"/>
      <c r="DJ1299" s="8"/>
      <c r="DK1299" s="8"/>
      <c r="DL1299" s="8"/>
      <c r="DM1299" s="8"/>
      <c r="DN1299" s="8"/>
      <c r="DO1299" s="8"/>
      <c r="DP1299" s="8"/>
      <c r="DQ1299" s="8"/>
      <c r="DR1299" s="8"/>
      <c r="DS1299" s="8"/>
      <c r="DT1299" s="8"/>
      <c r="DU1299" s="8"/>
      <c r="DV1299" s="8"/>
      <c r="DW1299" s="8"/>
      <c r="DX1299" s="8"/>
      <c r="DY1299" s="8"/>
      <c r="DZ1299" s="8"/>
      <c r="EA1299" s="8"/>
      <c r="EB1299" s="8"/>
      <c r="EC1299" s="8"/>
      <c r="ED1299" s="8"/>
      <c r="EE1299" s="8"/>
      <c r="EF1299" s="8"/>
      <c r="EG1299" s="8"/>
      <c r="EH1299" s="8"/>
      <c r="EI1299" s="8"/>
      <c r="EJ1299" s="8"/>
      <c r="EK1299" s="8"/>
      <c r="EL1299" s="8"/>
      <c r="EM1299" s="8"/>
      <c r="EN1299" s="8"/>
      <c r="EO1299" s="8"/>
      <c r="EP1299" s="8"/>
      <c r="EQ1299" s="8"/>
      <c r="ER1299" s="8"/>
      <c r="ES1299" s="8"/>
      <c r="ET1299" s="8"/>
      <c r="EU1299" s="8"/>
      <c r="EV1299" s="8"/>
      <c r="EW1299" s="8"/>
      <c r="EX1299" s="8"/>
      <c r="EY1299" s="8"/>
      <c r="EZ1299" s="8"/>
      <c r="FA1299" s="8"/>
      <c r="FB1299" s="8"/>
      <c r="FC1299" s="8"/>
      <c r="FD1299" s="8"/>
      <c r="FE1299" s="8"/>
      <c r="FF1299" s="8"/>
      <c r="FG1299" s="8"/>
      <c r="FH1299" s="8"/>
      <c r="FI1299" s="8"/>
      <c r="FJ1299" s="8"/>
      <c r="FK1299" s="8"/>
      <c r="FL1299" s="8"/>
      <c r="FM1299" s="8"/>
      <c r="FN1299" s="8"/>
      <c r="FO1299" s="8"/>
      <c r="FP1299" s="8"/>
      <c r="FQ1299" s="8"/>
      <c r="FR1299" s="8"/>
      <c r="FS1299" s="8"/>
      <c r="FT1299" s="8"/>
      <c r="FU1299" s="8"/>
      <c r="FV1299" s="8"/>
      <c r="FW1299" s="8"/>
      <c r="FX1299" s="8"/>
      <c r="FY1299" s="8"/>
      <c r="FZ1299" s="8"/>
      <c r="GA1299" s="8"/>
      <c r="GB1299" s="8"/>
      <c r="GC1299" s="8"/>
      <c r="GD1299" s="8"/>
      <c r="GE1299" s="8"/>
      <c r="GF1299" s="8"/>
      <c r="GG1299" s="8"/>
      <c r="GH1299" s="8"/>
      <c r="GI1299" s="8"/>
      <c r="GJ1299" s="8"/>
      <c r="GK1299" s="8"/>
      <c r="GL1299" s="8"/>
      <c r="GM1299" s="8"/>
      <c r="GN1299" s="8"/>
      <c r="GO1299" s="8"/>
      <c r="GP1299" s="8"/>
      <c r="GQ1299" s="8"/>
      <c r="GR1299" s="8"/>
      <c r="GS1299" s="8"/>
      <c r="GT1299" s="8"/>
      <c r="GU1299" s="8"/>
      <c r="GV1299" s="8"/>
      <c r="GW1299" s="8"/>
      <c r="GX1299" s="8"/>
      <c r="GY1299" s="8"/>
      <c r="GZ1299" s="8"/>
      <c r="HA1299" s="8"/>
      <c r="HB1299" s="8"/>
      <c r="HC1299" s="8"/>
      <c r="HD1299" s="8"/>
      <c r="HE1299" s="8"/>
      <c r="HF1299" s="8"/>
      <c r="HG1299" s="8"/>
      <c r="HH1299" s="8"/>
      <c r="HI1299" s="8"/>
      <c r="HJ1299" s="8"/>
      <c r="HK1299" s="8"/>
      <c r="HL1299" s="8"/>
      <c r="HM1299" s="8"/>
      <c r="HN1299" s="8"/>
      <c r="HO1299" s="8"/>
      <c r="HP1299" s="8"/>
      <c r="HQ1299" s="8"/>
      <c r="HR1299" s="8"/>
      <c r="HS1299" s="8"/>
      <c r="HT1299" s="8"/>
      <c r="HU1299" s="8"/>
      <c r="HV1299" s="8"/>
      <c r="HW1299" s="8"/>
      <c r="HX1299" s="8"/>
      <c r="HY1299" s="8"/>
      <c r="HZ1299" s="8"/>
      <c r="IA1299" s="8"/>
      <c r="IB1299" s="8"/>
      <c r="IC1299" s="8"/>
      <c r="ID1299" s="8"/>
      <c r="IE1299" s="8"/>
      <c r="IF1299" s="8"/>
    </row>
    <row r="1300" spans="1:240" ht="30" customHeight="1">
      <c r="A1300" s="5">
        <v>1298</v>
      </c>
      <c r="B1300" s="5"/>
      <c r="C1300" s="5"/>
      <c r="D1300" s="5" t="s">
        <v>68</v>
      </c>
      <c r="E1300" s="5">
        <v>3000</v>
      </c>
      <c r="F1300" s="5">
        <v>3150</v>
      </c>
      <c r="G1300" s="5">
        <v>3050</v>
      </c>
      <c r="H1300" s="5">
        <v>2450</v>
      </c>
      <c r="I1300" s="5" t="s">
        <v>13</v>
      </c>
      <c r="J1300" s="15">
        <f>4*175/4.4</f>
        <v>159.09090909090907</v>
      </c>
      <c r="K1300" s="17">
        <f t="shared" si="38"/>
        <v>4.1670000000000016</v>
      </c>
      <c r="L1300" s="15">
        <f>175*3782*4.1868/3600</f>
        <v>769.73154999999997</v>
      </c>
      <c r="M1300" s="5">
        <f t="shared" si="39"/>
        <v>3.8890000000000029</v>
      </c>
      <c r="N1300" s="5"/>
      <c r="O1300" s="5">
        <f>44000*1.6978*R1300</f>
        <v>74703.199999999997</v>
      </c>
      <c r="P1300" s="5"/>
      <c r="Q1300" s="5"/>
      <c r="R1300" s="5">
        <v>1</v>
      </c>
      <c r="S1300" s="5">
        <v>1800</v>
      </c>
      <c r="T1300" s="5"/>
      <c r="U1300" s="5">
        <v>720</v>
      </c>
      <c r="V1300" s="15">
        <f t="shared" si="40"/>
        <v>5.5927500000000006</v>
      </c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8"/>
      <c r="AP1300" s="8"/>
      <c r="AQ1300" s="8"/>
      <c r="AR1300" s="8"/>
      <c r="AS1300" s="8"/>
      <c r="AT1300" s="8"/>
      <c r="AU1300" s="8"/>
      <c r="AV1300" s="8"/>
      <c r="AW1300" s="8"/>
      <c r="AX1300" s="8"/>
      <c r="AY1300" s="8"/>
      <c r="AZ1300" s="8"/>
      <c r="BA1300" s="8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8"/>
      <c r="BS1300" s="8"/>
      <c r="BT1300" s="8"/>
      <c r="BU1300" s="8"/>
      <c r="BV1300" s="8"/>
      <c r="BW1300" s="8"/>
      <c r="BX1300" s="8"/>
      <c r="BY1300" s="8"/>
      <c r="BZ1300" s="8"/>
      <c r="CA1300" s="8"/>
      <c r="CB1300" s="8"/>
      <c r="CC1300" s="8"/>
      <c r="CD1300" s="8"/>
      <c r="CE1300" s="8"/>
      <c r="CF1300" s="8"/>
      <c r="CG1300" s="8"/>
      <c r="CH1300" s="8"/>
      <c r="CI1300" s="8"/>
      <c r="CJ1300" s="8"/>
      <c r="CK1300" s="8"/>
      <c r="CL1300" s="8"/>
      <c r="CM1300" s="8"/>
      <c r="CN1300" s="8"/>
      <c r="CO1300" s="8"/>
      <c r="CP1300" s="8"/>
      <c r="CQ1300" s="8"/>
      <c r="CR1300" s="8"/>
      <c r="CS1300" s="8"/>
      <c r="CT1300" s="8"/>
      <c r="CU1300" s="8"/>
      <c r="CV1300" s="8"/>
      <c r="CW1300" s="8"/>
      <c r="CX1300" s="8"/>
      <c r="CY1300" s="8"/>
      <c r="CZ1300" s="8"/>
      <c r="DA1300" s="8"/>
      <c r="DB1300" s="8"/>
      <c r="DC1300" s="8"/>
      <c r="DD1300" s="8"/>
      <c r="DE1300" s="8"/>
      <c r="DF1300" s="8"/>
      <c r="DG1300" s="8"/>
      <c r="DH1300" s="8"/>
      <c r="DI1300" s="8"/>
      <c r="DJ1300" s="8"/>
      <c r="DK1300" s="8"/>
      <c r="DL1300" s="8"/>
      <c r="DM1300" s="8"/>
      <c r="DN1300" s="8"/>
      <c r="DO1300" s="8"/>
      <c r="DP1300" s="8"/>
      <c r="DQ1300" s="8"/>
      <c r="DR1300" s="8"/>
      <c r="DS1300" s="8"/>
      <c r="DT1300" s="8"/>
      <c r="DU1300" s="8"/>
      <c r="DV1300" s="8"/>
      <c r="DW1300" s="8"/>
      <c r="DX1300" s="8"/>
      <c r="DY1300" s="8"/>
      <c r="DZ1300" s="8"/>
      <c r="EA1300" s="8"/>
      <c r="EB1300" s="8"/>
      <c r="EC1300" s="8"/>
      <c r="ED1300" s="8"/>
      <c r="EE1300" s="8"/>
      <c r="EF1300" s="8"/>
      <c r="EG1300" s="8"/>
      <c r="EH1300" s="8"/>
      <c r="EI1300" s="8"/>
      <c r="EJ1300" s="8"/>
      <c r="EK1300" s="8"/>
      <c r="EL1300" s="8"/>
      <c r="EM1300" s="8"/>
      <c r="EN1300" s="8"/>
      <c r="EO1300" s="8"/>
      <c r="EP1300" s="8"/>
      <c r="EQ1300" s="8"/>
      <c r="ER1300" s="8"/>
      <c r="ES1300" s="8"/>
      <c r="ET1300" s="8"/>
      <c r="EU1300" s="8"/>
      <c r="EV1300" s="8"/>
      <c r="EW1300" s="8"/>
      <c r="EX1300" s="8"/>
      <c r="EY1300" s="8"/>
      <c r="EZ1300" s="8"/>
      <c r="FA1300" s="8"/>
      <c r="FB1300" s="8"/>
      <c r="FC1300" s="8"/>
      <c r="FD1300" s="8"/>
      <c r="FE1300" s="8"/>
      <c r="FF1300" s="8"/>
      <c r="FG1300" s="8"/>
      <c r="FH1300" s="8"/>
      <c r="FI1300" s="8"/>
      <c r="FJ1300" s="8"/>
      <c r="FK1300" s="8"/>
      <c r="FL1300" s="8"/>
      <c r="FM1300" s="8"/>
      <c r="FN1300" s="8"/>
      <c r="FO1300" s="8"/>
      <c r="FP1300" s="8"/>
      <c r="FQ1300" s="8"/>
      <c r="FR1300" s="8"/>
      <c r="FS1300" s="8"/>
      <c r="FT1300" s="8"/>
      <c r="FU1300" s="8"/>
      <c r="FV1300" s="8"/>
      <c r="FW1300" s="8"/>
      <c r="FX1300" s="8"/>
      <c r="FY1300" s="8"/>
      <c r="FZ1300" s="8"/>
      <c r="GA1300" s="8"/>
      <c r="GB1300" s="8"/>
      <c r="GC1300" s="8"/>
      <c r="GD1300" s="8"/>
      <c r="GE1300" s="8"/>
      <c r="GF1300" s="8"/>
      <c r="GG1300" s="8"/>
      <c r="GH1300" s="8"/>
      <c r="GI1300" s="8"/>
      <c r="GJ1300" s="8"/>
      <c r="GK1300" s="8"/>
      <c r="GL1300" s="8"/>
      <c r="GM1300" s="8"/>
      <c r="GN1300" s="8"/>
      <c r="GO1300" s="8"/>
      <c r="GP1300" s="8"/>
      <c r="GQ1300" s="8"/>
      <c r="GR1300" s="8"/>
      <c r="GS1300" s="8"/>
      <c r="GT1300" s="8"/>
      <c r="GU1300" s="8"/>
      <c r="GV1300" s="8"/>
      <c r="GW1300" s="8"/>
      <c r="GX1300" s="8"/>
      <c r="GY1300" s="8"/>
      <c r="GZ1300" s="8"/>
      <c r="HA1300" s="8"/>
      <c r="HB1300" s="8"/>
      <c r="HC1300" s="8"/>
      <c r="HD1300" s="8"/>
      <c r="HE1300" s="8"/>
      <c r="HF1300" s="8"/>
      <c r="HG1300" s="8"/>
      <c r="HH1300" s="8"/>
      <c r="HI1300" s="8"/>
      <c r="HJ1300" s="8"/>
      <c r="HK1300" s="8"/>
      <c r="HL1300" s="8"/>
      <c r="HM1300" s="8"/>
      <c r="HN1300" s="8"/>
      <c r="HO1300" s="8"/>
      <c r="HP1300" s="8"/>
      <c r="HQ1300" s="8"/>
      <c r="HR1300" s="8"/>
      <c r="HS1300" s="8"/>
      <c r="HT1300" s="8"/>
      <c r="HU1300" s="8"/>
      <c r="HV1300" s="8"/>
      <c r="HW1300" s="8"/>
      <c r="HX1300" s="8"/>
      <c r="HY1300" s="8"/>
      <c r="HZ1300" s="8"/>
      <c r="IA1300" s="8"/>
      <c r="IB1300" s="8"/>
      <c r="IC1300" s="8"/>
      <c r="ID1300" s="8"/>
      <c r="IE1300" s="8"/>
      <c r="IF1300" s="8"/>
    </row>
    <row r="1301" spans="1:240" ht="30" customHeight="1">
      <c r="A1301" s="5">
        <v>1299</v>
      </c>
      <c r="B1301" s="5"/>
      <c r="C1301" s="5"/>
      <c r="D1301" s="5" t="s">
        <v>68</v>
      </c>
      <c r="E1301" s="5">
        <v>3000</v>
      </c>
      <c r="F1301" s="5">
        <v>3600</v>
      </c>
      <c r="G1301" s="5">
        <v>3155</v>
      </c>
      <c r="H1301" s="5">
        <v>2820</v>
      </c>
      <c r="I1301" s="5" t="s">
        <v>13</v>
      </c>
      <c r="J1301" s="15">
        <f>4*200/4.4</f>
        <v>181.81818181818181</v>
      </c>
      <c r="K1301" s="17">
        <f t="shared" si="38"/>
        <v>4.1670000000000016</v>
      </c>
      <c r="L1301" s="15">
        <f>200*3782*4.1868/3600</f>
        <v>879.69320000000005</v>
      </c>
      <c r="M1301" s="5">
        <f t="shared" si="39"/>
        <v>3.8890000000000029</v>
      </c>
      <c r="N1301" s="5"/>
      <c r="O1301" s="5">
        <f>50200*1.6978*R1301</f>
        <v>85229.56</v>
      </c>
      <c r="P1301" s="5"/>
      <c r="Q1301" s="5"/>
      <c r="R1301" s="5">
        <v>1</v>
      </c>
      <c r="S1301" s="5">
        <v>1800</v>
      </c>
      <c r="T1301" s="5"/>
      <c r="U1301" s="5">
        <v>720</v>
      </c>
      <c r="V1301" s="15">
        <f>0.7457*10*R1301</f>
        <v>7.4570000000000007</v>
      </c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8"/>
      <c r="AP1301" s="8"/>
      <c r="AQ1301" s="8"/>
      <c r="AR1301" s="8"/>
      <c r="AS1301" s="8"/>
      <c r="AT1301" s="8"/>
      <c r="AU1301" s="8"/>
      <c r="AV1301" s="8"/>
      <c r="AW1301" s="8"/>
      <c r="AX1301" s="8"/>
      <c r="AY1301" s="8"/>
      <c r="AZ1301" s="8"/>
      <c r="BA1301" s="8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8"/>
      <c r="BS1301" s="8"/>
      <c r="BT1301" s="8"/>
      <c r="BU1301" s="8"/>
      <c r="BV1301" s="8"/>
      <c r="BW1301" s="8"/>
      <c r="BX1301" s="8"/>
      <c r="BY1301" s="8"/>
      <c r="BZ1301" s="8"/>
      <c r="CA1301" s="8"/>
      <c r="CB1301" s="8"/>
      <c r="CC1301" s="8"/>
      <c r="CD1301" s="8"/>
      <c r="CE1301" s="8"/>
      <c r="CF1301" s="8"/>
      <c r="CG1301" s="8"/>
      <c r="CH1301" s="8"/>
      <c r="CI1301" s="8"/>
      <c r="CJ1301" s="8"/>
      <c r="CK1301" s="8"/>
      <c r="CL1301" s="8"/>
      <c r="CM1301" s="8"/>
      <c r="CN1301" s="8"/>
      <c r="CO1301" s="8"/>
      <c r="CP1301" s="8"/>
      <c r="CQ1301" s="8"/>
      <c r="CR1301" s="8"/>
      <c r="CS1301" s="8"/>
      <c r="CT1301" s="8"/>
      <c r="CU1301" s="8"/>
      <c r="CV1301" s="8"/>
      <c r="CW1301" s="8"/>
      <c r="CX1301" s="8"/>
      <c r="CY1301" s="8"/>
      <c r="CZ1301" s="8"/>
      <c r="DA1301" s="8"/>
      <c r="DB1301" s="8"/>
      <c r="DC1301" s="8"/>
      <c r="DD1301" s="8"/>
      <c r="DE1301" s="8"/>
      <c r="DF1301" s="8"/>
      <c r="DG1301" s="8"/>
      <c r="DH1301" s="8"/>
      <c r="DI1301" s="8"/>
      <c r="DJ1301" s="8"/>
      <c r="DK1301" s="8"/>
      <c r="DL1301" s="8"/>
      <c r="DM1301" s="8"/>
      <c r="DN1301" s="8"/>
      <c r="DO1301" s="8"/>
      <c r="DP1301" s="8"/>
      <c r="DQ1301" s="8"/>
      <c r="DR1301" s="8"/>
      <c r="DS1301" s="8"/>
      <c r="DT1301" s="8"/>
      <c r="DU1301" s="8"/>
      <c r="DV1301" s="8"/>
      <c r="DW1301" s="8"/>
      <c r="DX1301" s="8"/>
      <c r="DY1301" s="8"/>
      <c r="DZ1301" s="8"/>
      <c r="EA1301" s="8"/>
      <c r="EB1301" s="8"/>
      <c r="EC1301" s="8"/>
      <c r="ED1301" s="8"/>
      <c r="EE1301" s="8"/>
      <c r="EF1301" s="8"/>
      <c r="EG1301" s="8"/>
      <c r="EH1301" s="8"/>
      <c r="EI1301" s="8"/>
      <c r="EJ1301" s="8"/>
      <c r="EK1301" s="8"/>
      <c r="EL1301" s="8"/>
      <c r="EM1301" s="8"/>
      <c r="EN1301" s="8"/>
      <c r="EO1301" s="8"/>
      <c r="EP1301" s="8"/>
      <c r="EQ1301" s="8"/>
      <c r="ER1301" s="8"/>
      <c r="ES1301" s="8"/>
      <c r="ET1301" s="8"/>
      <c r="EU1301" s="8"/>
      <c r="EV1301" s="8"/>
      <c r="EW1301" s="8"/>
      <c r="EX1301" s="8"/>
      <c r="EY1301" s="8"/>
      <c r="EZ1301" s="8"/>
      <c r="FA1301" s="8"/>
      <c r="FB1301" s="8"/>
      <c r="FC1301" s="8"/>
      <c r="FD1301" s="8"/>
      <c r="FE1301" s="8"/>
      <c r="FF1301" s="8"/>
      <c r="FG1301" s="8"/>
      <c r="FH1301" s="8"/>
      <c r="FI1301" s="8"/>
      <c r="FJ1301" s="8"/>
      <c r="FK1301" s="8"/>
      <c r="FL1301" s="8"/>
      <c r="FM1301" s="8"/>
      <c r="FN1301" s="8"/>
      <c r="FO1301" s="8"/>
      <c r="FP1301" s="8"/>
      <c r="FQ1301" s="8"/>
      <c r="FR1301" s="8"/>
      <c r="FS1301" s="8"/>
      <c r="FT1301" s="8"/>
      <c r="FU1301" s="8"/>
      <c r="FV1301" s="8"/>
      <c r="FW1301" s="8"/>
      <c r="FX1301" s="8"/>
      <c r="FY1301" s="8"/>
      <c r="FZ1301" s="8"/>
      <c r="GA1301" s="8"/>
      <c r="GB1301" s="8"/>
      <c r="GC1301" s="8"/>
      <c r="GD1301" s="8"/>
      <c r="GE1301" s="8"/>
      <c r="GF1301" s="8"/>
      <c r="GG1301" s="8"/>
      <c r="GH1301" s="8"/>
      <c r="GI1301" s="8"/>
      <c r="GJ1301" s="8"/>
      <c r="GK1301" s="8"/>
      <c r="GL1301" s="8"/>
      <c r="GM1301" s="8"/>
      <c r="GN1301" s="8"/>
      <c r="GO1301" s="8"/>
      <c r="GP1301" s="8"/>
      <c r="GQ1301" s="8"/>
      <c r="GR1301" s="8"/>
      <c r="GS1301" s="8"/>
      <c r="GT1301" s="8"/>
      <c r="GU1301" s="8"/>
      <c r="GV1301" s="8"/>
      <c r="GW1301" s="8"/>
      <c r="GX1301" s="8"/>
      <c r="GY1301" s="8"/>
      <c r="GZ1301" s="8"/>
      <c r="HA1301" s="8"/>
      <c r="HB1301" s="8"/>
      <c r="HC1301" s="8"/>
      <c r="HD1301" s="8"/>
      <c r="HE1301" s="8"/>
      <c r="HF1301" s="8"/>
      <c r="HG1301" s="8"/>
      <c r="HH1301" s="8"/>
      <c r="HI1301" s="8"/>
      <c r="HJ1301" s="8"/>
      <c r="HK1301" s="8"/>
      <c r="HL1301" s="8"/>
      <c r="HM1301" s="8"/>
      <c r="HN1301" s="8"/>
      <c r="HO1301" s="8"/>
      <c r="HP1301" s="8"/>
      <c r="HQ1301" s="8"/>
      <c r="HR1301" s="8"/>
      <c r="HS1301" s="8"/>
      <c r="HT1301" s="8"/>
      <c r="HU1301" s="8"/>
      <c r="HV1301" s="8"/>
      <c r="HW1301" s="8"/>
      <c r="HX1301" s="8"/>
      <c r="HY1301" s="8"/>
      <c r="HZ1301" s="8"/>
      <c r="IA1301" s="8"/>
      <c r="IB1301" s="8"/>
      <c r="IC1301" s="8"/>
      <c r="ID1301" s="8"/>
      <c r="IE1301" s="8"/>
      <c r="IF1301" s="8"/>
    </row>
    <row r="1302" spans="1:240" ht="30" customHeight="1">
      <c r="A1302" s="5">
        <v>1300</v>
      </c>
      <c r="B1302" s="5"/>
      <c r="C1302" s="5"/>
      <c r="D1302" s="5" t="s">
        <v>68</v>
      </c>
      <c r="E1302" s="5">
        <v>3600</v>
      </c>
      <c r="F1302" s="5">
        <v>3300</v>
      </c>
      <c r="G1302" s="5">
        <v>3385</v>
      </c>
      <c r="H1302" s="5">
        <v>2967</v>
      </c>
      <c r="I1302" s="5" t="s">
        <v>13</v>
      </c>
      <c r="J1302" s="15">
        <f>4*220/4.4</f>
        <v>199.99999999999997</v>
      </c>
      <c r="K1302" s="17">
        <f t="shared" si="38"/>
        <v>4.1670000000000016</v>
      </c>
      <c r="L1302" s="15">
        <f>220*3782*4.1868/3600</f>
        <v>967.66251999999986</v>
      </c>
      <c r="M1302" s="5">
        <f t="shared" si="39"/>
        <v>3.8890000000000029</v>
      </c>
      <c r="N1302" s="5"/>
      <c r="O1302" s="5">
        <f>27600*1.6978*R1302</f>
        <v>93718.56</v>
      </c>
      <c r="P1302" s="5"/>
      <c r="Q1302" s="5"/>
      <c r="R1302" s="5">
        <v>2</v>
      </c>
      <c r="S1302" s="5">
        <v>1200</v>
      </c>
      <c r="T1302" s="5"/>
      <c r="U1302" s="5">
        <v>960</v>
      </c>
      <c r="V1302" s="15">
        <f>0.7457*7.5*R1302</f>
        <v>11.185500000000001</v>
      </c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8"/>
      <c r="AP1302" s="8"/>
      <c r="AQ1302" s="8"/>
      <c r="AR1302" s="8"/>
      <c r="AS1302" s="8"/>
      <c r="AT1302" s="8"/>
      <c r="AU1302" s="8"/>
      <c r="AV1302" s="8"/>
      <c r="AW1302" s="8"/>
      <c r="AX1302" s="8"/>
      <c r="AY1302" s="8"/>
      <c r="AZ1302" s="8"/>
      <c r="BA1302" s="8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8"/>
      <c r="BS1302" s="8"/>
      <c r="BT1302" s="8"/>
      <c r="BU1302" s="8"/>
      <c r="BV1302" s="8"/>
      <c r="BW1302" s="8"/>
      <c r="BX1302" s="8"/>
      <c r="BY1302" s="8"/>
      <c r="BZ1302" s="8"/>
      <c r="CA1302" s="8"/>
      <c r="CB1302" s="8"/>
      <c r="CC1302" s="8"/>
      <c r="CD1302" s="8"/>
      <c r="CE1302" s="8"/>
      <c r="CF1302" s="8"/>
      <c r="CG1302" s="8"/>
      <c r="CH1302" s="8"/>
      <c r="CI1302" s="8"/>
      <c r="CJ1302" s="8"/>
      <c r="CK1302" s="8"/>
      <c r="CL1302" s="8"/>
      <c r="CM1302" s="8"/>
      <c r="CN1302" s="8"/>
      <c r="CO1302" s="8"/>
      <c r="CP1302" s="8"/>
      <c r="CQ1302" s="8"/>
      <c r="CR1302" s="8"/>
      <c r="CS1302" s="8"/>
      <c r="CT1302" s="8"/>
      <c r="CU1302" s="8"/>
      <c r="CV1302" s="8"/>
      <c r="CW1302" s="8"/>
      <c r="CX1302" s="8"/>
      <c r="CY1302" s="8"/>
      <c r="CZ1302" s="8"/>
      <c r="DA1302" s="8"/>
      <c r="DB1302" s="8"/>
      <c r="DC1302" s="8"/>
      <c r="DD1302" s="8"/>
      <c r="DE1302" s="8"/>
      <c r="DF1302" s="8"/>
      <c r="DG1302" s="8"/>
      <c r="DH1302" s="8"/>
      <c r="DI1302" s="8"/>
      <c r="DJ1302" s="8"/>
      <c r="DK1302" s="8"/>
      <c r="DL1302" s="8"/>
      <c r="DM1302" s="8"/>
      <c r="DN1302" s="8"/>
      <c r="DO1302" s="8"/>
      <c r="DP1302" s="8"/>
      <c r="DQ1302" s="8"/>
      <c r="DR1302" s="8"/>
      <c r="DS1302" s="8"/>
      <c r="DT1302" s="8"/>
      <c r="DU1302" s="8"/>
      <c r="DV1302" s="8"/>
      <c r="DW1302" s="8"/>
      <c r="DX1302" s="8"/>
      <c r="DY1302" s="8"/>
      <c r="DZ1302" s="8"/>
      <c r="EA1302" s="8"/>
      <c r="EB1302" s="8"/>
      <c r="EC1302" s="8"/>
      <c r="ED1302" s="8"/>
      <c r="EE1302" s="8"/>
      <c r="EF1302" s="8"/>
      <c r="EG1302" s="8"/>
      <c r="EH1302" s="8"/>
      <c r="EI1302" s="8"/>
      <c r="EJ1302" s="8"/>
      <c r="EK1302" s="8"/>
      <c r="EL1302" s="8"/>
      <c r="EM1302" s="8"/>
      <c r="EN1302" s="8"/>
      <c r="EO1302" s="8"/>
      <c r="EP1302" s="8"/>
      <c r="EQ1302" s="8"/>
      <c r="ER1302" s="8"/>
      <c r="ES1302" s="8"/>
      <c r="ET1302" s="8"/>
      <c r="EU1302" s="8"/>
      <c r="EV1302" s="8"/>
      <c r="EW1302" s="8"/>
      <c r="EX1302" s="8"/>
      <c r="EY1302" s="8"/>
      <c r="EZ1302" s="8"/>
      <c r="FA1302" s="8"/>
      <c r="FB1302" s="8"/>
      <c r="FC1302" s="8"/>
      <c r="FD1302" s="8"/>
      <c r="FE1302" s="8"/>
      <c r="FF1302" s="8"/>
      <c r="FG1302" s="8"/>
      <c r="FH1302" s="8"/>
      <c r="FI1302" s="8"/>
      <c r="FJ1302" s="8"/>
      <c r="FK1302" s="8"/>
      <c r="FL1302" s="8"/>
      <c r="FM1302" s="8"/>
      <c r="FN1302" s="8"/>
      <c r="FO1302" s="8"/>
      <c r="FP1302" s="8"/>
      <c r="FQ1302" s="8"/>
      <c r="FR1302" s="8"/>
      <c r="FS1302" s="8"/>
      <c r="FT1302" s="8"/>
      <c r="FU1302" s="8"/>
      <c r="FV1302" s="8"/>
      <c r="FW1302" s="8"/>
      <c r="FX1302" s="8"/>
      <c r="FY1302" s="8"/>
      <c r="FZ1302" s="8"/>
      <c r="GA1302" s="8"/>
      <c r="GB1302" s="8"/>
      <c r="GC1302" s="8"/>
      <c r="GD1302" s="8"/>
      <c r="GE1302" s="8"/>
      <c r="GF1302" s="8"/>
      <c r="GG1302" s="8"/>
      <c r="GH1302" s="8"/>
      <c r="GI1302" s="8"/>
      <c r="GJ1302" s="8"/>
      <c r="GK1302" s="8"/>
      <c r="GL1302" s="8"/>
      <c r="GM1302" s="8"/>
      <c r="GN1302" s="8"/>
      <c r="GO1302" s="8"/>
      <c r="GP1302" s="8"/>
      <c r="GQ1302" s="8"/>
      <c r="GR1302" s="8"/>
      <c r="GS1302" s="8"/>
      <c r="GT1302" s="8"/>
      <c r="GU1302" s="8"/>
      <c r="GV1302" s="8"/>
      <c r="GW1302" s="8"/>
      <c r="GX1302" s="8"/>
      <c r="GY1302" s="8"/>
      <c r="GZ1302" s="8"/>
      <c r="HA1302" s="8"/>
      <c r="HB1302" s="8"/>
      <c r="HC1302" s="8"/>
      <c r="HD1302" s="8"/>
      <c r="HE1302" s="8"/>
      <c r="HF1302" s="8"/>
      <c r="HG1302" s="8"/>
      <c r="HH1302" s="8"/>
      <c r="HI1302" s="8"/>
      <c r="HJ1302" s="8"/>
      <c r="HK1302" s="8"/>
      <c r="HL1302" s="8"/>
      <c r="HM1302" s="8"/>
      <c r="HN1302" s="8"/>
      <c r="HO1302" s="8"/>
      <c r="HP1302" s="8"/>
      <c r="HQ1302" s="8"/>
      <c r="HR1302" s="8"/>
      <c r="HS1302" s="8"/>
      <c r="HT1302" s="8"/>
      <c r="HU1302" s="8"/>
      <c r="HV1302" s="8"/>
      <c r="HW1302" s="8"/>
      <c r="HX1302" s="8"/>
      <c r="HY1302" s="8"/>
      <c r="HZ1302" s="8"/>
      <c r="IA1302" s="8"/>
      <c r="IB1302" s="8"/>
      <c r="IC1302" s="8"/>
      <c r="ID1302" s="8"/>
      <c r="IE1302" s="8"/>
      <c r="IF1302" s="8"/>
    </row>
    <row r="1303" spans="1:240" ht="30" customHeight="1">
      <c r="A1303" s="5">
        <v>1301</v>
      </c>
      <c r="B1303" s="5"/>
      <c r="C1303" s="5"/>
      <c r="D1303" s="5" t="s">
        <v>68</v>
      </c>
      <c r="E1303" s="5">
        <v>3600</v>
      </c>
      <c r="F1303" s="5">
        <v>3600</v>
      </c>
      <c r="G1303" s="5">
        <v>3385</v>
      </c>
      <c r="H1303" s="5">
        <v>3200</v>
      </c>
      <c r="I1303" s="5" t="s">
        <v>13</v>
      </c>
      <c r="J1303" s="15">
        <f>4*240/4.4</f>
        <v>218.18181818181816</v>
      </c>
      <c r="K1303" s="17">
        <f t="shared" si="38"/>
        <v>4.1670000000000016</v>
      </c>
      <c r="L1303" s="15">
        <f>240*3782*4.1868/3600</f>
        <v>1055.63184</v>
      </c>
      <c r="M1303" s="5">
        <f t="shared" si="39"/>
        <v>3.8890000000000029</v>
      </c>
      <c r="N1303" s="5"/>
      <c r="O1303" s="5">
        <f>30150*1.6978*R1303</f>
        <v>102377.34</v>
      </c>
      <c r="P1303" s="5"/>
      <c r="Q1303" s="5"/>
      <c r="R1303" s="5">
        <v>2</v>
      </c>
      <c r="S1303" s="5">
        <v>1200</v>
      </c>
      <c r="T1303" s="5"/>
      <c r="U1303" s="5">
        <v>960</v>
      </c>
      <c r="V1303" s="15">
        <f t="shared" si="40"/>
        <v>11.185500000000001</v>
      </c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8"/>
      <c r="AP1303" s="8"/>
      <c r="AQ1303" s="8"/>
      <c r="AR1303" s="8"/>
      <c r="AS1303" s="8"/>
      <c r="AT1303" s="8"/>
      <c r="AU1303" s="8"/>
      <c r="AV1303" s="8"/>
      <c r="AW1303" s="8"/>
      <c r="AX1303" s="8"/>
      <c r="AY1303" s="8"/>
      <c r="AZ1303" s="8"/>
      <c r="BA1303" s="8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8"/>
      <c r="BS1303" s="8"/>
      <c r="BT1303" s="8"/>
      <c r="BU1303" s="8"/>
      <c r="BV1303" s="8"/>
      <c r="BW1303" s="8"/>
      <c r="BX1303" s="8"/>
      <c r="BY1303" s="8"/>
      <c r="BZ1303" s="8"/>
      <c r="CA1303" s="8"/>
      <c r="CB1303" s="8"/>
      <c r="CC1303" s="8"/>
      <c r="CD1303" s="8"/>
      <c r="CE1303" s="8"/>
      <c r="CF1303" s="8"/>
      <c r="CG1303" s="8"/>
      <c r="CH1303" s="8"/>
      <c r="CI1303" s="8"/>
      <c r="CJ1303" s="8"/>
      <c r="CK1303" s="8"/>
      <c r="CL1303" s="8"/>
      <c r="CM1303" s="8"/>
      <c r="CN1303" s="8"/>
      <c r="CO1303" s="8"/>
      <c r="CP1303" s="8"/>
      <c r="CQ1303" s="8"/>
      <c r="CR1303" s="8"/>
      <c r="CS1303" s="8"/>
      <c r="CT1303" s="8"/>
      <c r="CU1303" s="8"/>
      <c r="CV1303" s="8"/>
      <c r="CW1303" s="8"/>
      <c r="CX1303" s="8"/>
      <c r="CY1303" s="8"/>
      <c r="CZ1303" s="8"/>
      <c r="DA1303" s="8"/>
      <c r="DB1303" s="8"/>
      <c r="DC1303" s="8"/>
      <c r="DD1303" s="8"/>
      <c r="DE1303" s="8"/>
      <c r="DF1303" s="8"/>
      <c r="DG1303" s="8"/>
      <c r="DH1303" s="8"/>
      <c r="DI1303" s="8"/>
      <c r="DJ1303" s="8"/>
      <c r="DK1303" s="8"/>
      <c r="DL1303" s="8"/>
      <c r="DM1303" s="8"/>
      <c r="DN1303" s="8"/>
      <c r="DO1303" s="8"/>
      <c r="DP1303" s="8"/>
      <c r="DQ1303" s="8"/>
      <c r="DR1303" s="8"/>
      <c r="DS1303" s="8"/>
      <c r="DT1303" s="8"/>
      <c r="DU1303" s="8"/>
      <c r="DV1303" s="8"/>
      <c r="DW1303" s="8"/>
      <c r="DX1303" s="8"/>
      <c r="DY1303" s="8"/>
      <c r="DZ1303" s="8"/>
      <c r="EA1303" s="8"/>
      <c r="EB1303" s="8"/>
      <c r="EC1303" s="8"/>
      <c r="ED1303" s="8"/>
      <c r="EE1303" s="8"/>
      <c r="EF1303" s="8"/>
      <c r="EG1303" s="8"/>
      <c r="EH1303" s="8"/>
      <c r="EI1303" s="8"/>
      <c r="EJ1303" s="8"/>
      <c r="EK1303" s="8"/>
      <c r="EL1303" s="8"/>
      <c r="EM1303" s="8"/>
      <c r="EN1303" s="8"/>
      <c r="EO1303" s="8"/>
      <c r="EP1303" s="8"/>
      <c r="EQ1303" s="8"/>
      <c r="ER1303" s="8"/>
      <c r="ES1303" s="8"/>
      <c r="ET1303" s="8"/>
      <c r="EU1303" s="8"/>
      <c r="EV1303" s="8"/>
      <c r="EW1303" s="8"/>
      <c r="EX1303" s="8"/>
      <c r="EY1303" s="8"/>
      <c r="EZ1303" s="8"/>
      <c r="FA1303" s="8"/>
      <c r="FB1303" s="8"/>
      <c r="FC1303" s="8"/>
      <c r="FD1303" s="8"/>
      <c r="FE1303" s="8"/>
      <c r="FF1303" s="8"/>
      <c r="FG1303" s="8"/>
      <c r="FH1303" s="8"/>
      <c r="FI1303" s="8"/>
      <c r="FJ1303" s="8"/>
      <c r="FK1303" s="8"/>
      <c r="FL1303" s="8"/>
      <c r="FM1303" s="8"/>
      <c r="FN1303" s="8"/>
      <c r="FO1303" s="8"/>
      <c r="FP1303" s="8"/>
      <c r="FQ1303" s="8"/>
      <c r="FR1303" s="8"/>
      <c r="FS1303" s="8"/>
      <c r="FT1303" s="8"/>
      <c r="FU1303" s="8"/>
      <c r="FV1303" s="8"/>
      <c r="FW1303" s="8"/>
      <c r="FX1303" s="8"/>
      <c r="FY1303" s="8"/>
      <c r="FZ1303" s="8"/>
      <c r="GA1303" s="8"/>
      <c r="GB1303" s="8"/>
      <c r="GC1303" s="8"/>
      <c r="GD1303" s="8"/>
      <c r="GE1303" s="8"/>
      <c r="GF1303" s="8"/>
      <c r="GG1303" s="8"/>
      <c r="GH1303" s="8"/>
      <c r="GI1303" s="8"/>
      <c r="GJ1303" s="8"/>
      <c r="GK1303" s="8"/>
      <c r="GL1303" s="8"/>
      <c r="GM1303" s="8"/>
      <c r="GN1303" s="8"/>
      <c r="GO1303" s="8"/>
      <c r="GP1303" s="8"/>
      <c r="GQ1303" s="8"/>
      <c r="GR1303" s="8"/>
      <c r="GS1303" s="8"/>
      <c r="GT1303" s="8"/>
      <c r="GU1303" s="8"/>
      <c r="GV1303" s="8"/>
      <c r="GW1303" s="8"/>
      <c r="GX1303" s="8"/>
      <c r="GY1303" s="8"/>
      <c r="GZ1303" s="8"/>
      <c r="HA1303" s="8"/>
      <c r="HB1303" s="8"/>
      <c r="HC1303" s="8"/>
      <c r="HD1303" s="8"/>
      <c r="HE1303" s="8"/>
      <c r="HF1303" s="8"/>
      <c r="HG1303" s="8"/>
      <c r="HH1303" s="8"/>
      <c r="HI1303" s="8"/>
      <c r="HJ1303" s="8"/>
      <c r="HK1303" s="8"/>
      <c r="HL1303" s="8"/>
      <c r="HM1303" s="8"/>
      <c r="HN1303" s="8"/>
      <c r="HO1303" s="8"/>
      <c r="HP1303" s="8"/>
      <c r="HQ1303" s="8"/>
      <c r="HR1303" s="8"/>
      <c r="HS1303" s="8"/>
      <c r="HT1303" s="8"/>
      <c r="HU1303" s="8"/>
      <c r="HV1303" s="8"/>
      <c r="HW1303" s="8"/>
      <c r="HX1303" s="8"/>
      <c r="HY1303" s="8"/>
      <c r="HZ1303" s="8"/>
      <c r="IA1303" s="8"/>
      <c r="IB1303" s="8"/>
      <c r="IC1303" s="8"/>
      <c r="ID1303" s="8"/>
      <c r="IE1303" s="8"/>
      <c r="IF1303" s="8"/>
    </row>
    <row r="1304" spans="1:240" ht="30" customHeight="1">
      <c r="A1304" s="5">
        <v>1302</v>
      </c>
      <c r="B1304" s="5"/>
      <c r="C1304" s="5"/>
      <c r="D1304" s="5" t="s">
        <v>68</v>
      </c>
      <c r="E1304" s="5">
        <v>3600</v>
      </c>
      <c r="F1304" s="5">
        <v>3750</v>
      </c>
      <c r="G1304" s="5">
        <v>3385</v>
      </c>
      <c r="H1304" s="5">
        <v>3430</v>
      </c>
      <c r="I1304" s="5" t="s">
        <v>13</v>
      </c>
      <c r="J1304" s="15">
        <f>4*250/4.4</f>
        <v>227.27272727272725</v>
      </c>
      <c r="K1304" s="17">
        <f t="shared" si="38"/>
        <v>4.1670000000000016</v>
      </c>
      <c r="L1304" s="15">
        <f>250*3782*4.1868/3600</f>
        <v>1099.6165000000001</v>
      </c>
      <c r="M1304" s="5">
        <f t="shared" si="39"/>
        <v>3.8890000000000029</v>
      </c>
      <c r="N1304" s="5"/>
      <c r="O1304" s="5">
        <f>31400*1.6978*R1304</f>
        <v>106621.84</v>
      </c>
      <c r="P1304" s="5"/>
      <c r="Q1304" s="5"/>
      <c r="R1304" s="5">
        <v>2</v>
      </c>
      <c r="S1304" s="5">
        <v>1200</v>
      </c>
      <c r="T1304" s="5"/>
      <c r="U1304" s="5">
        <v>960</v>
      </c>
      <c r="V1304" s="15">
        <f t="shared" si="40"/>
        <v>11.185500000000001</v>
      </c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8"/>
      <c r="AP1304" s="8"/>
      <c r="AQ1304" s="8"/>
      <c r="AR1304" s="8"/>
      <c r="AS1304" s="8"/>
      <c r="AT1304" s="8"/>
      <c r="AU1304" s="8"/>
      <c r="AV1304" s="8"/>
      <c r="AW1304" s="8"/>
      <c r="AX1304" s="8"/>
      <c r="AY1304" s="8"/>
      <c r="AZ1304" s="8"/>
      <c r="BA1304" s="8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8"/>
      <c r="BS1304" s="8"/>
      <c r="BT1304" s="8"/>
      <c r="BU1304" s="8"/>
      <c r="BV1304" s="8"/>
      <c r="BW1304" s="8"/>
      <c r="BX1304" s="8"/>
      <c r="BY1304" s="8"/>
      <c r="BZ1304" s="8"/>
      <c r="CA1304" s="8"/>
      <c r="CB1304" s="8"/>
      <c r="CC1304" s="8"/>
      <c r="CD1304" s="8"/>
      <c r="CE1304" s="8"/>
      <c r="CF1304" s="8"/>
      <c r="CG1304" s="8"/>
      <c r="CH1304" s="8"/>
      <c r="CI1304" s="8"/>
      <c r="CJ1304" s="8"/>
      <c r="CK1304" s="8"/>
      <c r="CL1304" s="8"/>
      <c r="CM1304" s="8"/>
      <c r="CN1304" s="8"/>
      <c r="CO1304" s="8"/>
      <c r="CP1304" s="8"/>
      <c r="CQ1304" s="8"/>
      <c r="CR1304" s="8"/>
      <c r="CS1304" s="8"/>
      <c r="CT1304" s="8"/>
      <c r="CU1304" s="8"/>
      <c r="CV1304" s="8"/>
      <c r="CW1304" s="8"/>
      <c r="CX1304" s="8"/>
      <c r="CY1304" s="8"/>
      <c r="CZ1304" s="8"/>
      <c r="DA1304" s="8"/>
      <c r="DB1304" s="8"/>
      <c r="DC1304" s="8"/>
      <c r="DD1304" s="8"/>
      <c r="DE1304" s="8"/>
      <c r="DF1304" s="8"/>
      <c r="DG1304" s="8"/>
      <c r="DH1304" s="8"/>
      <c r="DI1304" s="8"/>
      <c r="DJ1304" s="8"/>
      <c r="DK1304" s="8"/>
      <c r="DL1304" s="8"/>
      <c r="DM1304" s="8"/>
      <c r="DN1304" s="8"/>
      <c r="DO1304" s="8"/>
      <c r="DP1304" s="8"/>
      <c r="DQ1304" s="8"/>
      <c r="DR1304" s="8"/>
      <c r="DS1304" s="8"/>
      <c r="DT1304" s="8"/>
      <c r="DU1304" s="8"/>
      <c r="DV1304" s="8"/>
      <c r="DW1304" s="8"/>
      <c r="DX1304" s="8"/>
      <c r="DY1304" s="8"/>
      <c r="DZ1304" s="8"/>
      <c r="EA1304" s="8"/>
      <c r="EB1304" s="8"/>
      <c r="EC1304" s="8"/>
      <c r="ED1304" s="8"/>
      <c r="EE1304" s="8"/>
      <c r="EF1304" s="8"/>
      <c r="EG1304" s="8"/>
      <c r="EH1304" s="8"/>
      <c r="EI1304" s="8"/>
      <c r="EJ1304" s="8"/>
      <c r="EK1304" s="8"/>
      <c r="EL1304" s="8"/>
      <c r="EM1304" s="8"/>
      <c r="EN1304" s="8"/>
      <c r="EO1304" s="8"/>
      <c r="EP1304" s="8"/>
      <c r="EQ1304" s="8"/>
      <c r="ER1304" s="8"/>
      <c r="ES1304" s="8"/>
      <c r="ET1304" s="8"/>
      <c r="EU1304" s="8"/>
      <c r="EV1304" s="8"/>
      <c r="EW1304" s="8"/>
      <c r="EX1304" s="8"/>
      <c r="EY1304" s="8"/>
      <c r="EZ1304" s="8"/>
      <c r="FA1304" s="8"/>
      <c r="FB1304" s="8"/>
      <c r="FC1304" s="8"/>
      <c r="FD1304" s="8"/>
      <c r="FE1304" s="8"/>
      <c r="FF1304" s="8"/>
      <c r="FG1304" s="8"/>
      <c r="FH1304" s="8"/>
      <c r="FI1304" s="8"/>
      <c r="FJ1304" s="8"/>
      <c r="FK1304" s="8"/>
      <c r="FL1304" s="8"/>
      <c r="FM1304" s="8"/>
      <c r="FN1304" s="8"/>
      <c r="FO1304" s="8"/>
      <c r="FP1304" s="8"/>
      <c r="FQ1304" s="8"/>
      <c r="FR1304" s="8"/>
      <c r="FS1304" s="8"/>
      <c r="FT1304" s="8"/>
      <c r="FU1304" s="8"/>
      <c r="FV1304" s="8"/>
      <c r="FW1304" s="8"/>
      <c r="FX1304" s="8"/>
      <c r="FY1304" s="8"/>
      <c r="FZ1304" s="8"/>
      <c r="GA1304" s="8"/>
      <c r="GB1304" s="8"/>
      <c r="GC1304" s="8"/>
      <c r="GD1304" s="8"/>
      <c r="GE1304" s="8"/>
      <c r="GF1304" s="8"/>
      <c r="GG1304" s="8"/>
      <c r="GH1304" s="8"/>
      <c r="GI1304" s="8"/>
      <c r="GJ1304" s="8"/>
      <c r="GK1304" s="8"/>
      <c r="GL1304" s="8"/>
      <c r="GM1304" s="8"/>
      <c r="GN1304" s="8"/>
      <c r="GO1304" s="8"/>
      <c r="GP1304" s="8"/>
      <c r="GQ1304" s="8"/>
      <c r="GR1304" s="8"/>
      <c r="GS1304" s="8"/>
      <c r="GT1304" s="8"/>
      <c r="GU1304" s="8"/>
      <c r="GV1304" s="8"/>
      <c r="GW1304" s="8"/>
      <c r="GX1304" s="8"/>
      <c r="GY1304" s="8"/>
      <c r="GZ1304" s="8"/>
      <c r="HA1304" s="8"/>
      <c r="HB1304" s="8"/>
      <c r="HC1304" s="8"/>
      <c r="HD1304" s="8"/>
      <c r="HE1304" s="8"/>
      <c r="HF1304" s="8"/>
      <c r="HG1304" s="8"/>
      <c r="HH1304" s="8"/>
      <c r="HI1304" s="8"/>
      <c r="HJ1304" s="8"/>
      <c r="HK1304" s="8"/>
      <c r="HL1304" s="8"/>
      <c r="HM1304" s="8"/>
      <c r="HN1304" s="8"/>
      <c r="HO1304" s="8"/>
      <c r="HP1304" s="8"/>
      <c r="HQ1304" s="8"/>
      <c r="HR1304" s="8"/>
      <c r="HS1304" s="8"/>
      <c r="HT1304" s="8"/>
      <c r="HU1304" s="8"/>
      <c r="HV1304" s="8"/>
      <c r="HW1304" s="8"/>
      <c r="HX1304" s="8"/>
      <c r="HY1304" s="8"/>
      <c r="HZ1304" s="8"/>
      <c r="IA1304" s="8"/>
      <c r="IB1304" s="8"/>
      <c r="IC1304" s="8"/>
      <c r="ID1304" s="8"/>
      <c r="IE1304" s="8"/>
      <c r="IF1304" s="8"/>
    </row>
    <row r="1305" spans="1:240" ht="30" customHeight="1">
      <c r="A1305" s="5">
        <v>1303</v>
      </c>
      <c r="B1305" s="5"/>
      <c r="C1305" s="5"/>
      <c r="D1305" s="5" t="s">
        <v>68</v>
      </c>
      <c r="E1305" s="5">
        <v>3600</v>
      </c>
      <c r="F1305" s="5">
        <v>4200</v>
      </c>
      <c r="G1305" s="5">
        <v>3385</v>
      </c>
      <c r="H1305" s="5">
        <v>3840</v>
      </c>
      <c r="I1305" s="5" t="s">
        <v>13</v>
      </c>
      <c r="J1305" s="15">
        <f>4*280/4.4</f>
        <v>254.54545454545453</v>
      </c>
      <c r="K1305" s="17">
        <f t="shared" si="38"/>
        <v>4.1670000000000016</v>
      </c>
      <c r="L1305" s="15">
        <f>280*3782*4.1868/3600</f>
        <v>1231.5704800000001</v>
      </c>
      <c r="M1305" s="5">
        <f t="shared" si="39"/>
        <v>3.8890000000000029</v>
      </c>
      <c r="N1305" s="5"/>
      <c r="O1305" s="5">
        <f>35150*1.6978*R1305</f>
        <v>119355.34</v>
      </c>
      <c r="P1305" s="5"/>
      <c r="Q1305" s="5"/>
      <c r="R1305" s="5">
        <v>2</v>
      </c>
      <c r="S1305" s="5">
        <v>1200</v>
      </c>
      <c r="T1305" s="5"/>
      <c r="U1305" s="5">
        <v>960</v>
      </c>
      <c r="V1305" s="15">
        <f t="shared" si="40"/>
        <v>11.185500000000001</v>
      </c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8"/>
      <c r="AP1305" s="8"/>
      <c r="AQ1305" s="8"/>
      <c r="AR1305" s="8"/>
      <c r="AS1305" s="8"/>
      <c r="AT1305" s="8"/>
      <c r="AU1305" s="8"/>
      <c r="AV1305" s="8"/>
      <c r="AW1305" s="8"/>
      <c r="AX1305" s="8"/>
      <c r="AY1305" s="8"/>
      <c r="AZ1305" s="8"/>
      <c r="BA1305" s="8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8"/>
      <c r="BS1305" s="8"/>
      <c r="BT1305" s="8"/>
      <c r="BU1305" s="8"/>
      <c r="BV1305" s="8"/>
      <c r="BW1305" s="8"/>
      <c r="BX1305" s="8"/>
      <c r="BY1305" s="8"/>
      <c r="BZ1305" s="8"/>
      <c r="CA1305" s="8"/>
      <c r="CB1305" s="8"/>
      <c r="CC1305" s="8"/>
      <c r="CD1305" s="8"/>
      <c r="CE1305" s="8"/>
      <c r="CF1305" s="8"/>
      <c r="CG1305" s="8"/>
      <c r="CH1305" s="8"/>
      <c r="CI1305" s="8"/>
      <c r="CJ1305" s="8"/>
      <c r="CK1305" s="8"/>
      <c r="CL1305" s="8"/>
      <c r="CM1305" s="8"/>
      <c r="CN1305" s="8"/>
      <c r="CO1305" s="8"/>
      <c r="CP1305" s="8"/>
      <c r="CQ1305" s="8"/>
      <c r="CR1305" s="8"/>
      <c r="CS1305" s="8"/>
      <c r="CT1305" s="8"/>
      <c r="CU1305" s="8"/>
      <c r="CV1305" s="8"/>
      <c r="CW1305" s="8"/>
      <c r="CX1305" s="8"/>
      <c r="CY1305" s="8"/>
      <c r="CZ1305" s="8"/>
      <c r="DA1305" s="8"/>
      <c r="DB1305" s="8"/>
      <c r="DC1305" s="8"/>
      <c r="DD1305" s="8"/>
      <c r="DE1305" s="8"/>
      <c r="DF1305" s="8"/>
      <c r="DG1305" s="8"/>
      <c r="DH1305" s="8"/>
      <c r="DI1305" s="8"/>
      <c r="DJ1305" s="8"/>
      <c r="DK1305" s="8"/>
      <c r="DL1305" s="8"/>
      <c r="DM1305" s="8"/>
      <c r="DN1305" s="8"/>
      <c r="DO1305" s="8"/>
      <c r="DP1305" s="8"/>
      <c r="DQ1305" s="8"/>
      <c r="DR1305" s="8"/>
      <c r="DS1305" s="8"/>
      <c r="DT1305" s="8"/>
      <c r="DU1305" s="8"/>
      <c r="DV1305" s="8"/>
      <c r="DW1305" s="8"/>
      <c r="DX1305" s="8"/>
      <c r="DY1305" s="8"/>
      <c r="DZ1305" s="8"/>
      <c r="EA1305" s="8"/>
      <c r="EB1305" s="8"/>
      <c r="EC1305" s="8"/>
      <c r="ED1305" s="8"/>
      <c r="EE1305" s="8"/>
      <c r="EF1305" s="8"/>
      <c r="EG1305" s="8"/>
      <c r="EH1305" s="8"/>
      <c r="EI1305" s="8"/>
      <c r="EJ1305" s="8"/>
      <c r="EK1305" s="8"/>
      <c r="EL1305" s="8"/>
      <c r="EM1305" s="8"/>
      <c r="EN1305" s="8"/>
      <c r="EO1305" s="8"/>
      <c r="EP1305" s="8"/>
      <c r="EQ1305" s="8"/>
      <c r="ER1305" s="8"/>
      <c r="ES1305" s="8"/>
      <c r="ET1305" s="8"/>
      <c r="EU1305" s="8"/>
      <c r="EV1305" s="8"/>
      <c r="EW1305" s="8"/>
      <c r="EX1305" s="8"/>
      <c r="EY1305" s="8"/>
      <c r="EZ1305" s="8"/>
      <c r="FA1305" s="8"/>
      <c r="FB1305" s="8"/>
      <c r="FC1305" s="8"/>
      <c r="FD1305" s="8"/>
      <c r="FE1305" s="8"/>
      <c r="FF1305" s="8"/>
      <c r="FG1305" s="8"/>
      <c r="FH1305" s="8"/>
      <c r="FI1305" s="8"/>
      <c r="FJ1305" s="8"/>
      <c r="FK1305" s="8"/>
      <c r="FL1305" s="8"/>
      <c r="FM1305" s="8"/>
      <c r="FN1305" s="8"/>
      <c r="FO1305" s="8"/>
      <c r="FP1305" s="8"/>
      <c r="FQ1305" s="8"/>
      <c r="FR1305" s="8"/>
      <c r="FS1305" s="8"/>
      <c r="FT1305" s="8"/>
      <c r="FU1305" s="8"/>
      <c r="FV1305" s="8"/>
      <c r="FW1305" s="8"/>
      <c r="FX1305" s="8"/>
      <c r="FY1305" s="8"/>
      <c r="FZ1305" s="8"/>
      <c r="GA1305" s="8"/>
      <c r="GB1305" s="8"/>
      <c r="GC1305" s="8"/>
      <c r="GD1305" s="8"/>
      <c r="GE1305" s="8"/>
      <c r="GF1305" s="8"/>
      <c r="GG1305" s="8"/>
      <c r="GH1305" s="8"/>
      <c r="GI1305" s="8"/>
      <c r="GJ1305" s="8"/>
      <c r="GK1305" s="8"/>
      <c r="GL1305" s="8"/>
      <c r="GM1305" s="8"/>
      <c r="GN1305" s="8"/>
      <c r="GO1305" s="8"/>
      <c r="GP1305" s="8"/>
      <c r="GQ1305" s="8"/>
      <c r="GR1305" s="8"/>
      <c r="GS1305" s="8"/>
      <c r="GT1305" s="8"/>
      <c r="GU1305" s="8"/>
      <c r="GV1305" s="8"/>
      <c r="GW1305" s="8"/>
      <c r="GX1305" s="8"/>
      <c r="GY1305" s="8"/>
      <c r="GZ1305" s="8"/>
      <c r="HA1305" s="8"/>
      <c r="HB1305" s="8"/>
      <c r="HC1305" s="8"/>
      <c r="HD1305" s="8"/>
      <c r="HE1305" s="8"/>
      <c r="HF1305" s="8"/>
      <c r="HG1305" s="8"/>
      <c r="HH1305" s="8"/>
      <c r="HI1305" s="8"/>
      <c r="HJ1305" s="8"/>
      <c r="HK1305" s="8"/>
      <c r="HL1305" s="8"/>
      <c r="HM1305" s="8"/>
      <c r="HN1305" s="8"/>
      <c r="HO1305" s="8"/>
      <c r="HP1305" s="8"/>
      <c r="HQ1305" s="8"/>
      <c r="HR1305" s="8"/>
      <c r="HS1305" s="8"/>
      <c r="HT1305" s="8"/>
      <c r="HU1305" s="8"/>
      <c r="HV1305" s="8"/>
      <c r="HW1305" s="8"/>
      <c r="HX1305" s="8"/>
      <c r="HY1305" s="8"/>
      <c r="HZ1305" s="8"/>
      <c r="IA1305" s="8"/>
      <c r="IB1305" s="8"/>
      <c r="IC1305" s="8"/>
      <c r="ID1305" s="8"/>
      <c r="IE1305" s="8"/>
      <c r="IF1305" s="8"/>
    </row>
    <row r="1306" spans="1:240" ht="30" customHeight="1">
      <c r="A1306" s="5">
        <v>1304</v>
      </c>
      <c r="B1306" s="5"/>
      <c r="C1306" s="5"/>
      <c r="D1306" s="5" t="s">
        <v>68</v>
      </c>
      <c r="E1306" s="5">
        <v>3600</v>
      </c>
      <c r="F1306" s="5">
        <v>4500</v>
      </c>
      <c r="G1306" s="5">
        <v>3385</v>
      </c>
      <c r="H1306" s="5">
        <v>4110</v>
      </c>
      <c r="I1306" s="5" t="s">
        <v>13</v>
      </c>
      <c r="J1306" s="15">
        <f>4*300/4.4</f>
        <v>272.72727272727269</v>
      </c>
      <c r="K1306" s="17">
        <f t="shared" si="38"/>
        <v>4.1670000000000016</v>
      </c>
      <c r="L1306" s="15">
        <f>300*3782*4.1868/3600</f>
        <v>1319.5398</v>
      </c>
      <c r="M1306" s="5">
        <f t="shared" si="39"/>
        <v>3.8890000000000029</v>
      </c>
      <c r="N1306" s="5"/>
      <c r="O1306" s="5">
        <f>37700*1.6978*R1306</f>
        <v>128014.12</v>
      </c>
      <c r="P1306" s="5"/>
      <c r="Q1306" s="5"/>
      <c r="R1306" s="5">
        <v>2</v>
      </c>
      <c r="S1306" s="5">
        <v>1500</v>
      </c>
      <c r="T1306" s="5"/>
      <c r="U1306" s="5">
        <v>960</v>
      </c>
      <c r="V1306" s="15">
        <f t="shared" si="40"/>
        <v>11.185500000000001</v>
      </c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8"/>
      <c r="AP1306" s="8"/>
      <c r="AQ1306" s="8"/>
      <c r="AR1306" s="8"/>
      <c r="AS1306" s="8"/>
      <c r="AT1306" s="8"/>
      <c r="AU1306" s="8"/>
      <c r="AV1306" s="8"/>
      <c r="AW1306" s="8"/>
      <c r="AX1306" s="8"/>
      <c r="AY1306" s="8"/>
      <c r="AZ1306" s="8"/>
      <c r="BA1306" s="8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8"/>
      <c r="BS1306" s="8"/>
      <c r="BT1306" s="8"/>
      <c r="BU1306" s="8"/>
      <c r="BV1306" s="8"/>
      <c r="BW1306" s="8"/>
      <c r="BX1306" s="8"/>
      <c r="BY1306" s="8"/>
      <c r="BZ1306" s="8"/>
      <c r="CA1306" s="8"/>
      <c r="CB1306" s="8"/>
      <c r="CC1306" s="8"/>
      <c r="CD1306" s="8"/>
      <c r="CE1306" s="8"/>
      <c r="CF1306" s="8"/>
      <c r="CG1306" s="8"/>
      <c r="CH1306" s="8"/>
      <c r="CI1306" s="8"/>
      <c r="CJ1306" s="8"/>
      <c r="CK1306" s="8"/>
      <c r="CL1306" s="8"/>
      <c r="CM1306" s="8"/>
      <c r="CN1306" s="8"/>
      <c r="CO1306" s="8"/>
      <c r="CP1306" s="8"/>
      <c r="CQ1306" s="8"/>
      <c r="CR1306" s="8"/>
      <c r="CS1306" s="8"/>
      <c r="CT1306" s="8"/>
      <c r="CU1306" s="8"/>
      <c r="CV1306" s="8"/>
      <c r="CW1306" s="8"/>
      <c r="CX1306" s="8"/>
      <c r="CY1306" s="8"/>
      <c r="CZ1306" s="8"/>
      <c r="DA1306" s="8"/>
      <c r="DB1306" s="8"/>
      <c r="DC1306" s="8"/>
      <c r="DD1306" s="8"/>
      <c r="DE1306" s="8"/>
      <c r="DF1306" s="8"/>
      <c r="DG1306" s="8"/>
      <c r="DH1306" s="8"/>
      <c r="DI1306" s="8"/>
      <c r="DJ1306" s="8"/>
      <c r="DK1306" s="8"/>
      <c r="DL1306" s="8"/>
      <c r="DM1306" s="8"/>
      <c r="DN1306" s="8"/>
      <c r="DO1306" s="8"/>
      <c r="DP1306" s="8"/>
      <c r="DQ1306" s="8"/>
      <c r="DR1306" s="8"/>
      <c r="DS1306" s="8"/>
      <c r="DT1306" s="8"/>
      <c r="DU1306" s="8"/>
      <c r="DV1306" s="8"/>
      <c r="DW1306" s="8"/>
      <c r="DX1306" s="8"/>
      <c r="DY1306" s="8"/>
      <c r="DZ1306" s="8"/>
      <c r="EA1306" s="8"/>
      <c r="EB1306" s="8"/>
      <c r="EC1306" s="8"/>
      <c r="ED1306" s="8"/>
      <c r="EE1306" s="8"/>
      <c r="EF1306" s="8"/>
      <c r="EG1306" s="8"/>
      <c r="EH1306" s="8"/>
      <c r="EI1306" s="8"/>
      <c r="EJ1306" s="8"/>
      <c r="EK1306" s="8"/>
      <c r="EL1306" s="8"/>
      <c r="EM1306" s="8"/>
      <c r="EN1306" s="8"/>
      <c r="EO1306" s="8"/>
      <c r="EP1306" s="8"/>
      <c r="EQ1306" s="8"/>
      <c r="ER1306" s="8"/>
      <c r="ES1306" s="8"/>
      <c r="ET1306" s="8"/>
      <c r="EU1306" s="8"/>
      <c r="EV1306" s="8"/>
      <c r="EW1306" s="8"/>
      <c r="EX1306" s="8"/>
      <c r="EY1306" s="8"/>
      <c r="EZ1306" s="8"/>
      <c r="FA1306" s="8"/>
      <c r="FB1306" s="8"/>
      <c r="FC1306" s="8"/>
      <c r="FD1306" s="8"/>
      <c r="FE1306" s="8"/>
      <c r="FF1306" s="8"/>
      <c r="FG1306" s="8"/>
      <c r="FH1306" s="8"/>
      <c r="FI1306" s="8"/>
      <c r="FJ1306" s="8"/>
      <c r="FK1306" s="8"/>
      <c r="FL1306" s="8"/>
      <c r="FM1306" s="8"/>
      <c r="FN1306" s="8"/>
      <c r="FO1306" s="8"/>
      <c r="FP1306" s="8"/>
      <c r="FQ1306" s="8"/>
      <c r="FR1306" s="8"/>
      <c r="FS1306" s="8"/>
      <c r="FT1306" s="8"/>
      <c r="FU1306" s="8"/>
      <c r="FV1306" s="8"/>
      <c r="FW1306" s="8"/>
      <c r="FX1306" s="8"/>
      <c r="FY1306" s="8"/>
      <c r="FZ1306" s="8"/>
      <c r="GA1306" s="8"/>
      <c r="GB1306" s="8"/>
      <c r="GC1306" s="8"/>
      <c r="GD1306" s="8"/>
      <c r="GE1306" s="8"/>
      <c r="GF1306" s="8"/>
      <c r="GG1306" s="8"/>
      <c r="GH1306" s="8"/>
      <c r="GI1306" s="8"/>
      <c r="GJ1306" s="8"/>
      <c r="GK1306" s="8"/>
      <c r="GL1306" s="8"/>
      <c r="GM1306" s="8"/>
      <c r="GN1306" s="8"/>
      <c r="GO1306" s="8"/>
      <c r="GP1306" s="8"/>
      <c r="GQ1306" s="8"/>
      <c r="GR1306" s="8"/>
      <c r="GS1306" s="8"/>
      <c r="GT1306" s="8"/>
      <c r="GU1306" s="8"/>
      <c r="GV1306" s="8"/>
      <c r="GW1306" s="8"/>
      <c r="GX1306" s="8"/>
      <c r="GY1306" s="8"/>
      <c r="GZ1306" s="8"/>
      <c r="HA1306" s="8"/>
      <c r="HB1306" s="8"/>
      <c r="HC1306" s="8"/>
      <c r="HD1306" s="8"/>
      <c r="HE1306" s="8"/>
      <c r="HF1306" s="8"/>
      <c r="HG1306" s="8"/>
      <c r="HH1306" s="8"/>
      <c r="HI1306" s="8"/>
      <c r="HJ1306" s="8"/>
      <c r="HK1306" s="8"/>
      <c r="HL1306" s="8"/>
      <c r="HM1306" s="8"/>
      <c r="HN1306" s="8"/>
      <c r="HO1306" s="8"/>
      <c r="HP1306" s="8"/>
      <c r="HQ1306" s="8"/>
      <c r="HR1306" s="8"/>
      <c r="HS1306" s="8"/>
      <c r="HT1306" s="8"/>
      <c r="HU1306" s="8"/>
      <c r="HV1306" s="8"/>
      <c r="HW1306" s="8"/>
      <c r="HX1306" s="8"/>
      <c r="HY1306" s="8"/>
      <c r="HZ1306" s="8"/>
      <c r="IA1306" s="8"/>
      <c r="IB1306" s="8"/>
      <c r="IC1306" s="8"/>
      <c r="ID1306" s="8"/>
      <c r="IE1306" s="8"/>
      <c r="IF1306" s="8"/>
    </row>
    <row r="1307" spans="1:240" ht="30" customHeight="1">
      <c r="A1307" s="5">
        <v>1305</v>
      </c>
      <c r="B1307" s="5"/>
      <c r="C1307" s="5"/>
      <c r="D1307" s="5" t="s">
        <v>68</v>
      </c>
      <c r="E1307" s="5">
        <v>4200</v>
      </c>
      <c r="F1307" s="5">
        <v>4200</v>
      </c>
      <c r="G1307" s="5">
        <v>3385</v>
      </c>
      <c r="H1307" s="5">
        <v>4870</v>
      </c>
      <c r="I1307" s="5" t="s">
        <v>13</v>
      </c>
      <c r="J1307" s="15">
        <f>4*325/4.4</f>
        <v>295.45454545454544</v>
      </c>
      <c r="K1307" s="17">
        <f t="shared" si="38"/>
        <v>4.1670000000000016</v>
      </c>
      <c r="L1307" s="15">
        <f>325*3782*4.1868/3600</f>
        <v>1429.50145</v>
      </c>
      <c r="M1307" s="5">
        <f t="shared" si="39"/>
        <v>3.8890000000000029</v>
      </c>
      <c r="N1307" s="5"/>
      <c r="O1307" s="5">
        <f>41000*1.6978*R1307</f>
        <v>139219.6</v>
      </c>
      <c r="P1307" s="5"/>
      <c r="Q1307" s="5"/>
      <c r="R1307" s="5">
        <v>2</v>
      </c>
      <c r="S1307" s="5">
        <v>1800</v>
      </c>
      <c r="T1307" s="5"/>
      <c r="U1307" s="5">
        <v>720</v>
      </c>
      <c r="V1307" s="15">
        <f t="shared" si="40"/>
        <v>11.185500000000001</v>
      </c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8"/>
      <c r="AP1307" s="8"/>
      <c r="AQ1307" s="8"/>
      <c r="AR1307" s="8"/>
      <c r="AS1307" s="8"/>
      <c r="AT1307" s="8"/>
      <c r="AU1307" s="8"/>
      <c r="AV1307" s="8"/>
      <c r="AW1307" s="8"/>
      <c r="AX1307" s="8"/>
      <c r="AY1307" s="8"/>
      <c r="AZ1307" s="8"/>
      <c r="BA1307" s="8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8"/>
      <c r="BS1307" s="8"/>
      <c r="BT1307" s="8"/>
      <c r="BU1307" s="8"/>
      <c r="BV1307" s="8"/>
      <c r="BW1307" s="8"/>
      <c r="BX1307" s="8"/>
      <c r="BY1307" s="8"/>
      <c r="BZ1307" s="8"/>
      <c r="CA1307" s="8"/>
      <c r="CB1307" s="8"/>
      <c r="CC1307" s="8"/>
      <c r="CD1307" s="8"/>
      <c r="CE1307" s="8"/>
      <c r="CF1307" s="8"/>
      <c r="CG1307" s="8"/>
      <c r="CH1307" s="8"/>
      <c r="CI1307" s="8"/>
      <c r="CJ1307" s="8"/>
      <c r="CK1307" s="8"/>
      <c r="CL1307" s="8"/>
      <c r="CM1307" s="8"/>
      <c r="CN1307" s="8"/>
      <c r="CO1307" s="8"/>
      <c r="CP1307" s="8"/>
      <c r="CQ1307" s="8"/>
      <c r="CR1307" s="8"/>
      <c r="CS1307" s="8"/>
      <c r="CT1307" s="8"/>
      <c r="CU1307" s="8"/>
      <c r="CV1307" s="8"/>
      <c r="CW1307" s="8"/>
      <c r="CX1307" s="8"/>
      <c r="CY1307" s="8"/>
      <c r="CZ1307" s="8"/>
      <c r="DA1307" s="8"/>
      <c r="DB1307" s="8"/>
      <c r="DC1307" s="8"/>
      <c r="DD1307" s="8"/>
      <c r="DE1307" s="8"/>
      <c r="DF1307" s="8"/>
      <c r="DG1307" s="8"/>
      <c r="DH1307" s="8"/>
      <c r="DI1307" s="8"/>
      <c r="DJ1307" s="8"/>
      <c r="DK1307" s="8"/>
      <c r="DL1307" s="8"/>
      <c r="DM1307" s="8"/>
      <c r="DN1307" s="8"/>
      <c r="DO1307" s="8"/>
      <c r="DP1307" s="8"/>
      <c r="DQ1307" s="8"/>
      <c r="DR1307" s="8"/>
      <c r="DS1307" s="8"/>
      <c r="DT1307" s="8"/>
      <c r="DU1307" s="8"/>
      <c r="DV1307" s="8"/>
      <c r="DW1307" s="8"/>
      <c r="DX1307" s="8"/>
      <c r="DY1307" s="8"/>
      <c r="DZ1307" s="8"/>
      <c r="EA1307" s="8"/>
      <c r="EB1307" s="8"/>
      <c r="EC1307" s="8"/>
      <c r="ED1307" s="8"/>
      <c r="EE1307" s="8"/>
      <c r="EF1307" s="8"/>
      <c r="EG1307" s="8"/>
      <c r="EH1307" s="8"/>
      <c r="EI1307" s="8"/>
      <c r="EJ1307" s="8"/>
      <c r="EK1307" s="8"/>
      <c r="EL1307" s="8"/>
      <c r="EM1307" s="8"/>
      <c r="EN1307" s="8"/>
      <c r="EO1307" s="8"/>
      <c r="EP1307" s="8"/>
      <c r="EQ1307" s="8"/>
      <c r="ER1307" s="8"/>
      <c r="ES1307" s="8"/>
      <c r="ET1307" s="8"/>
      <c r="EU1307" s="8"/>
      <c r="EV1307" s="8"/>
      <c r="EW1307" s="8"/>
      <c r="EX1307" s="8"/>
      <c r="EY1307" s="8"/>
      <c r="EZ1307" s="8"/>
      <c r="FA1307" s="8"/>
      <c r="FB1307" s="8"/>
      <c r="FC1307" s="8"/>
      <c r="FD1307" s="8"/>
      <c r="FE1307" s="8"/>
      <c r="FF1307" s="8"/>
      <c r="FG1307" s="8"/>
      <c r="FH1307" s="8"/>
      <c r="FI1307" s="8"/>
      <c r="FJ1307" s="8"/>
      <c r="FK1307" s="8"/>
      <c r="FL1307" s="8"/>
      <c r="FM1307" s="8"/>
      <c r="FN1307" s="8"/>
      <c r="FO1307" s="8"/>
      <c r="FP1307" s="8"/>
      <c r="FQ1307" s="8"/>
      <c r="FR1307" s="8"/>
      <c r="FS1307" s="8"/>
      <c r="FT1307" s="8"/>
      <c r="FU1307" s="8"/>
      <c r="FV1307" s="8"/>
      <c r="FW1307" s="8"/>
      <c r="FX1307" s="8"/>
      <c r="FY1307" s="8"/>
      <c r="FZ1307" s="8"/>
      <c r="GA1307" s="8"/>
      <c r="GB1307" s="8"/>
      <c r="GC1307" s="8"/>
      <c r="GD1307" s="8"/>
      <c r="GE1307" s="8"/>
      <c r="GF1307" s="8"/>
      <c r="GG1307" s="8"/>
      <c r="GH1307" s="8"/>
      <c r="GI1307" s="8"/>
      <c r="GJ1307" s="8"/>
      <c r="GK1307" s="8"/>
      <c r="GL1307" s="8"/>
      <c r="GM1307" s="8"/>
      <c r="GN1307" s="8"/>
      <c r="GO1307" s="8"/>
      <c r="GP1307" s="8"/>
      <c r="GQ1307" s="8"/>
      <c r="GR1307" s="8"/>
      <c r="GS1307" s="8"/>
      <c r="GT1307" s="8"/>
      <c r="GU1307" s="8"/>
      <c r="GV1307" s="8"/>
      <c r="GW1307" s="8"/>
      <c r="GX1307" s="8"/>
      <c r="GY1307" s="8"/>
      <c r="GZ1307" s="8"/>
      <c r="HA1307" s="8"/>
      <c r="HB1307" s="8"/>
      <c r="HC1307" s="8"/>
      <c r="HD1307" s="8"/>
      <c r="HE1307" s="8"/>
      <c r="HF1307" s="8"/>
      <c r="HG1307" s="8"/>
      <c r="HH1307" s="8"/>
      <c r="HI1307" s="8"/>
      <c r="HJ1307" s="8"/>
      <c r="HK1307" s="8"/>
      <c r="HL1307" s="8"/>
      <c r="HM1307" s="8"/>
      <c r="HN1307" s="8"/>
      <c r="HO1307" s="8"/>
      <c r="HP1307" s="8"/>
      <c r="HQ1307" s="8"/>
      <c r="HR1307" s="8"/>
      <c r="HS1307" s="8"/>
      <c r="HT1307" s="8"/>
      <c r="HU1307" s="8"/>
      <c r="HV1307" s="8"/>
      <c r="HW1307" s="8"/>
      <c r="HX1307" s="8"/>
      <c r="HY1307" s="8"/>
      <c r="HZ1307" s="8"/>
      <c r="IA1307" s="8"/>
      <c r="IB1307" s="8"/>
      <c r="IC1307" s="8"/>
      <c r="ID1307" s="8"/>
      <c r="IE1307" s="8"/>
      <c r="IF1307" s="8"/>
    </row>
    <row r="1308" spans="1:240" ht="30" customHeight="1">
      <c r="A1308" s="5">
        <v>1306</v>
      </c>
      <c r="B1308" s="5"/>
      <c r="C1308" s="5"/>
      <c r="D1308" s="5" t="s">
        <v>68</v>
      </c>
      <c r="E1308" s="5">
        <v>4500</v>
      </c>
      <c r="F1308" s="5">
        <v>4200</v>
      </c>
      <c r="G1308" s="5">
        <v>3385</v>
      </c>
      <c r="H1308" s="5">
        <v>4900</v>
      </c>
      <c r="I1308" s="5" t="s">
        <v>13</v>
      </c>
      <c r="J1308" s="15">
        <f>4*350/4.4</f>
        <v>318.18181818181813</v>
      </c>
      <c r="K1308" s="17">
        <f t="shared" si="38"/>
        <v>4.1670000000000016</v>
      </c>
      <c r="L1308" s="15">
        <f>350*3782*4.1868/3600</f>
        <v>1539.4630999999999</v>
      </c>
      <c r="M1308" s="5">
        <f t="shared" si="39"/>
        <v>3.8890000000000029</v>
      </c>
      <c r="N1308" s="5"/>
      <c r="O1308" s="5">
        <f>43950*1.6978*R1308</f>
        <v>149236.62</v>
      </c>
      <c r="P1308" s="5"/>
      <c r="Q1308" s="5"/>
      <c r="R1308" s="5">
        <v>2</v>
      </c>
      <c r="S1308" s="5">
        <v>1800</v>
      </c>
      <c r="T1308" s="5"/>
      <c r="U1308" s="5">
        <v>720</v>
      </c>
      <c r="V1308" s="15">
        <f t="shared" si="40"/>
        <v>11.185500000000001</v>
      </c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8"/>
      <c r="AP1308" s="8"/>
      <c r="AQ1308" s="8"/>
      <c r="AR1308" s="8"/>
      <c r="AS1308" s="8"/>
      <c r="AT1308" s="8"/>
      <c r="AU1308" s="8"/>
      <c r="AV1308" s="8"/>
      <c r="AW1308" s="8"/>
      <c r="AX1308" s="8"/>
      <c r="AY1308" s="8"/>
      <c r="AZ1308" s="8"/>
      <c r="BA1308" s="8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8"/>
      <c r="BS1308" s="8"/>
      <c r="BT1308" s="8"/>
      <c r="BU1308" s="8"/>
      <c r="BV1308" s="8"/>
      <c r="BW1308" s="8"/>
      <c r="BX1308" s="8"/>
      <c r="BY1308" s="8"/>
      <c r="BZ1308" s="8"/>
      <c r="CA1308" s="8"/>
      <c r="CB1308" s="8"/>
      <c r="CC1308" s="8"/>
      <c r="CD1308" s="8"/>
      <c r="CE1308" s="8"/>
      <c r="CF1308" s="8"/>
      <c r="CG1308" s="8"/>
      <c r="CH1308" s="8"/>
      <c r="CI1308" s="8"/>
      <c r="CJ1308" s="8"/>
      <c r="CK1308" s="8"/>
      <c r="CL1308" s="8"/>
      <c r="CM1308" s="8"/>
      <c r="CN1308" s="8"/>
      <c r="CO1308" s="8"/>
      <c r="CP1308" s="8"/>
      <c r="CQ1308" s="8"/>
      <c r="CR1308" s="8"/>
      <c r="CS1308" s="8"/>
      <c r="CT1308" s="8"/>
      <c r="CU1308" s="8"/>
      <c r="CV1308" s="8"/>
      <c r="CW1308" s="8"/>
      <c r="CX1308" s="8"/>
      <c r="CY1308" s="8"/>
      <c r="CZ1308" s="8"/>
      <c r="DA1308" s="8"/>
      <c r="DB1308" s="8"/>
      <c r="DC1308" s="8"/>
      <c r="DD1308" s="8"/>
      <c r="DE1308" s="8"/>
      <c r="DF1308" s="8"/>
      <c r="DG1308" s="8"/>
      <c r="DH1308" s="8"/>
      <c r="DI1308" s="8"/>
      <c r="DJ1308" s="8"/>
      <c r="DK1308" s="8"/>
      <c r="DL1308" s="8"/>
      <c r="DM1308" s="8"/>
      <c r="DN1308" s="8"/>
      <c r="DO1308" s="8"/>
      <c r="DP1308" s="8"/>
      <c r="DQ1308" s="8"/>
      <c r="DR1308" s="8"/>
      <c r="DS1308" s="8"/>
      <c r="DT1308" s="8"/>
      <c r="DU1308" s="8"/>
      <c r="DV1308" s="8"/>
      <c r="DW1308" s="8"/>
      <c r="DX1308" s="8"/>
      <c r="DY1308" s="8"/>
      <c r="DZ1308" s="8"/>
      <c r="EA1308" s="8"/>
      <c r="EB1308" s="8"/>
      <c r="EC1308" s="8"/>
      <c r="ED1308" s="8"/>
      <c r="EE1308" s="8"/>
      <c r="EF1308" s="8"/>
      <c r="EG1308" s="8"/>
      <c r="EH1308" s="8"/>
      <c r="EI1308" s="8"/>
      <c r="EJ1308" s="8"/>
      <c r="EK1308" s="8"/>
      <c r="EL1308" s="8"/>
      <c r="EM1308" s="8"/>
      <c r="EN1308" s="8"/>
      <c r="EO1308" s="8"/>
      <c r="EP1308" s="8"/>
      <c r="EQ1308" s="8"/>
      <c r="ER1308" s="8"/>
      <c r="ES1308" s="8"/>
      <c r="ET1308" s="8"/>
      <c r="EU1308" s="8"/>
      <c r="EV1308" s="8"/>
      <c r="EW1308" s="8"/>
      <c r="EX1308" s="8"/>
      <c r="EY1308" s="8"/>
      <c r="EZ1308" s="8"/>
      <c r="FA1308" s="8"/>
      <c r="FB1308" s="8"/>
      <c r="FC1308" s="8"/>
      <c r="FD1308" s="8"/>
      <c r="FE1308" s="8"/>
      <c r="FF1308" s="8"/>
      <c r="FG1308" s="8"/>
      <c r="FH1308" s="8"/>
      <c r="FI1308" s="8"/>
      <c r="FJ1308" s="8"/>
      <c r="FK1308" s="8"/>
      <c r="FL1308" s="8"/>
      <c r="FM1308" s="8"/>
      <c r="FN1308" s="8"/>
      <c r="FO1308" s="8"/>
      <c r="FP1308" s="8"/>
      <c r="FQ1308" s="8"/>
      <c r="FR1308" s="8"/>
      <c r="FS1308" s="8"/>
      <c r="FT1308" s="8"/>
      <c r="FU1308" s="8"/>
      <c r="FV1308" s="8"/>
      <c r="FW1308" s="8"/>
      <c r="FX1308" s="8"/>
      <c r="FY1308" s="8"/>
      <c r="FZ1308" s="8"/>
      <c r="GA1308" s="8"/>
      <c r="GB1308" s="8"/>
      <c r="GC1308" s="8"/>
      <c r="GD1308" s="8"/>
      <c r="GE1308" s="8"/>
      <c r="GF1308" s="8"/>
      <c r="GG1308" s="8"/>
      <c r="GH1308" s="8"/>
      <c r="GI1308" s="8"/>
      <c r="GJ1308" s="8"/>
      <c r="GK1308" s="8"/>
      <c r="GL1308" s="8"/>
      <c r="GM1308" s="8"/>
      <c r="GN1308" s="8"/>
      <c r="GO1308" s="8"/>
      <c r="GP1308" s="8"/>
      <c r="GQ1308" s="8"/>
      <c r="GR1308" s="8"/>
      <c r="GS1308" s="8"/>
      <c r="GT1308" s="8"/>
      <c r="GU1308" s="8"/>
      <c r="GV1308" s="8"/>
      <c r="GW1308" s="8"/>
      <c r="GX1308" s="8"/>
      <c r="GY1308" s="8"/>
      <c r="GZ1308" s="8"/>
      <c r="HA1308" s="8"/>
      <c r="HB1308" s="8"/>
      <c r="HC1308" s="8"/>
      <c r="HD1308" s="8"/>
      <c r="HE1308" s="8"/>
      <c r="HF1308" s="8"/>
      <c r="HG1308" s="8"/>
      <c r="HH1308" s="8"/>
      <c r="HI1308" s="8"/>
      <c r="HJ1308" s="8"/>
      <c r="HK1308" s="8"/>
      <c r="HL1308" s="8"/>
      <c r="HM1308" s="8"/>
      <c r="HN1308" s="8"/>
      <c r="HO1308" s="8"/>
      <c r="HP1308" s="8"/>
      <c r="HQ1308" s="8"/>
      <c r="HR1308" s="8"/>
      <c r="HS1308" s="8"/>
      <c r="HT1308" s="8"/>
      <c r="HU1308" s="8"/>
      <c r="HV1308" s="8"/>
      <c r="HW1308" s="8"/>
      <c r="HX1308" s="8"/>
      <c r="HY1308" s="8"/>
      <c r="HZ1308" s="8"/>
      <c r="IA1308" s="8"/>
      <c r="IB1308" s="8"/>
      <c r="IC1308" s="8"/>
      <c r="ID1308" s="8"/>
      <c r="IE1308" s="8"/>
      <c r="IF1308" s="8"/>
    </row>
    <row r="1309" spans="1:240" ht="30" customHeight="1">
      <c r="A1309" s="5">
        <v>1307</v>
      </c>
      <c r="B1309" s="5"/>
      <c r="C1309" s="5"/>
      <c r="D1309" s="5" t="s">
        <v>68</v>
      </c>
      <c r="E1309" s="5">
        <v>4500</v>
      </c>
      <c r="F1309" s="5">
        <v>4500</v>
      </c>
      <c r="G1309" s="5">
        <v>3385</v>
      </c>
      <c r="H1309" s="5">
        <v>5100</v>
      </c>
      <c r="I1309" s="5" t="s">
        <v>13</v>
      </c>
      <c r="J1309" s="15">
        <f>4*375/4.4</f>
        <v>340.90909090909088</v>
      </c>
      <c r="K1309" s="17">
        <f t="shared" si="38"/>
        <v>4.1670000000000016</v>
      </c>
      <c r="L1309" s="15">
        <f>375*3782*4.1868/3600</f>
        <v>1649.4247499999999</v>
      </c>
      <c r="M1309" s="5">
        <f t="shared" si="39"/>
        <v>3.8890000000000029</v>
      </c>
      <c r="N1309" s="5"/>
      <c r="O1309" s="5">
        <f>47050*1.6978*R1309</f>
        <v>159762.98000000001</v>
      </c>
      <c r="P1309" s="5"/>
      <c r="Q1309" s="5"/>
      <c r="R1309" s="5">
        <v>2</v>
      </c>
      <c r="S1309" s="5">
        <v>1800</v>
      </c>
      <c r="T1309" s="5"/>
      <c r="U1309" s="5">
        <v>720</v>
      </c>
      <c r="V1309" s="15">
        <f t="shared" si="40"/>
        <v>11.185500000000001</v>
      </c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8"/>
      <c r="AP1309" s="8"/>
      <c r="AQ1309" s="8"/>
      <c r="AR1309" s="8"/>
      <c r="AS1309" s="8"/>
      <c r="AT1309" s="8"/>
      <c r="AU1309" s="8"/>
      <c r="AV1309" s="8"/>
      <c r="AW1309" s="8"/>
      <c r="AX1309" s="8"/>
      <c r="AY1309" s="8"/>
      <c r="AZ1309" s="8"/>
      <c r="BA1309" s="8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8"/>
      <c r="BS1309" s="8"/>
      <c r="BT1309" s="8"/>
      <c r="BU1309" s="8"/>
      <c r="BV1309" s="8"/>
      <c r="BW1309" s="8"/>
      <c r="BX1309" s="8"/>
      <c r="BY1309" s="8"/>
      <c r="BZ1309" s="8"/>
      <c r="CA1309" s="8"/>
      <c r="CB1309" s="8"/>
      <c r="CC1309" s="8"/>
      <c r="CD1309" s="8"/>
      <c r="CE1309" s="8"/>
      <c r="CF1309" s="8"/>
      <c r="CG1309" s="8"/>
      <c r="CH1309" s="8"/>
      <c r="CI1309" s="8"/>
      <c r="CJ1309" s="8"/>
      <c r="CK1309" s="8"/>
      <c r="CL1309" s="8"/>
      <c r="CM1309" s="8"/>
      <c r="CN1309" s="8"/>
      <c r="CO1309" s="8"/>
      <c r="CP1309" s="8"/>
      <c r="CQ1309" s="8"/>
      <c r="CR1309" s="8"/>
      <c r="CS1309" s="8"/>
      <c r="CT1309" s="8"/>
      <c r="CU1309" s="8"/>
      <c r="CV1309" s="8"/>
      <c r="CW1309" s="8"/>
      <c r="CX1309" s="8"/>
      <c r="CY1309" s="8"/>
      <c r="CZ1309" s="8"/>
      <c r="DA1309" s="8"/>
      <c r="DB1309" s="8"/>
      <c r="DC1309" s="8"/>
      <c r="DD1309" s="8"/>
      <c r="DE1309" s="8"/>
      <c r="DF1309" s="8"/>
      <c r="DG1309" s="8"/>
      <c r="DH1309" s="8"/>
      <c r="DI1309" s="8"/>
      <c r="DJ1309" s="8"/>
      <c r="DK1309" s="8"/>
      <c r="DL1309" s="8"/>
      <c r="DM1309" s="8"/>
      <c r="DN1309" s="8"/>
      <c r="DO1309" s="8"/>
      <c r="DP1309" s="8"/>
      <c r="DQ1309" s="8"/>
      <c r="DR1309" s="8"/>
      <c r="DS1309" s="8"/>
      <c r="DT1309" s="8"/>
      <c r="DU1309" s="8"/>
      <c r="DV1309" s="8"/>
      <c r="DW1309" s="8"/>
      <c r="DX1309" s="8"/>
      <c r="DY1309" s="8"/>
      <c r="DZ1309" s="8"/>
      <c r="EA1309" s="8"/>
      <c r="EB1309" s="8"/>
      <c r="EC1309" s="8"/>
      <c r="ED1309" s="8"/>
      <c r="EE1309" s="8"/>
      <c r="EF1309" s="8"/>
      <c r="EG1309" s="8"/>
      <c r="EH1309" s="8"/>
      <c r="EI1309" s="8"/>
      <c r="EJ1309" s="8"/>
      <c r="EK1309" s="8"/>
      <c r="EL1309" s="8"/>
      <c r="EM1309" s="8"/>
      <c r="EN1309" s="8"/>
      <c r="EO1309" s="8"/>
      <c r="EP1309" s="8"/>
      <c r="EQ1309" s="8"/>
      <c r="ER1309" s="8"/>
      <c r="ES1309" s="8"/>
      <c r="ET1309" s="8"/>
      <c r="EU1309" s="8"/>
      <c r="EV1309" s="8"/>
      <c r="EW1309" s="8"/>
      <c r="EX1309" s="8"/>
      <c r="EY1309" s="8"/>
      <c r="EZ1309" s="8"/>
      <c r="FA1309" s="8"/>
      <c r="FB1309" s="8"/>
      <c r="FC1309" s="8"/>
      <c r="FD1309" s="8"/>
      <c r="FE1309" s="8"/>
      <c r="FF1309" s="8"/>
      <c r="FG1309" s="8"/>
      <c r="FH1309" s="8"/>
      <c r="FI1309" s="8"/>
      <c r="FJ1309" s="8"/>
      <c r="FK1309" s="8"/>
      <c r="FL1309" s="8"/>
      <c r="FM1309" s="8"/>
      <c r="FN1309" s="8"/>
      <c r="FO1309" s="8"/>
      <c r="FP1309" s="8"/>
      <c r="FQ1309" s="8"/>
      <c r="FR1309" s="8"/>
      <c r="FS1309" s="8"/>
      <c r="FT1309" s="8"/>
      <c r="FU1309" s="8"/>
      <c r="FV1309" s="8"/>
      <c r="FW1309" s="8"/>
      <c r="FX1309" s="8"/>
      <c r="FY1309" s="8"/>
      <c r="FZ1309" s="8"/>
      <c r="GA1309" s="8"/>
      <c r="GB1309" s="8"/>
      <c r="GC1309" s="8"/>
      <c r="GD1309" s="8"/>
      <c r="GE1309" s="8"/>
      <c r="GF1309" s="8"/>
      <c r="GG1309" s="8"/>
      <c r="GH1309" s="8"/>
      <c r="GI1309" s="8"/>
      <c r="GJ1309" s="8"/>
      <c r="GK1309" s="8"/>
      <c r="GL1309" s="8"/>
      <c r="GM1309" s="8"/>
      <c r="GN1309" s="8"/>
      <c r="GO1309" s="8"/>
      <c r="GP1309" s="8"/>
      <c r="GQ1309" s="8"/>
      <c r="GR1309" s="8"/>
      <c r="GS1309" s="8"/>
      <c r="GT1309" s="8"/>
      <c r="GU1309" s="8"/>
      <c r="GV1309" s="8"/>
      <c r="GW1309" s="8"/>
      <c r="GX1309" s="8"/>
      <c r="GY1309" s="8"/>
      <c r="GZ1309" s="8"/>
      <c r="HA1309" s="8"/>
      <c r="HB1309" s="8"/>
      <c r="HC1309" s="8"/>
      <c r="HD1309" s="8"/>
      <c r="HE1309" s="8"/>
      <c r="HF1309" s="8"/>
      <c r="HG1309" s="8"/>
      <c r="HH1309" s="8"/>
      <c r="HI1309" s="8"/>
      <c r="HJ1309" s="8"/>
      <c r="HK1309" s="8"/>
      <c r="HL1309" s="8"/>
      <c r="HM1309" s="8"/>
      <c r="HN1309" s="8"/>
      <c r="HO1309" s="8"/>
      <c r="HP1309" s="8"/>
      <c r="HQ1309" s="8"/>
      <c r="HR1309" s="8"/>
      <c r="HS1309" s="8"/>
      <c r="HT1309" s="8"/>
      <c r="HU1309" s="8"/>
      <c r="HV1309" s="8"/>
      <c r="HW1309" s="8"/>
      <c r="HX1309" s="8"/>
      <c r="HY1309" s="8"/>
      <c r="HZ1309" s="8"/>
      <c r="IA1309" s="8"/>
      <c r="IB1309" s="8"/>
      <c r="IC1309" s="8"/>
      <c r="ID1309" s="8"/>
      <c r="IE1309" s="8"/>
      <c r="IF1309" s="8"/>
    </row>
    <row r="1310" spans="1:240" ht="30" customHeight="1">
      <c r="A1310" s="5">
        <v>1308</v>
      </c>
      <c r="B1310" s="5"/>
      <c r="C1310" s="5"/>
      <c r="D1310" s="5" t="s">
        <v>68</v>
      </c>
      <c r="E1310" s="5">
        <v>4800</v>
      </c>
      <c r="F1310" s="5">
        <v>4500</v>
      </c>
      <c r="G1310" s="5">
        <v>3385</v>
      </c>
      <c r="H1310" s="5">
        <v>5330</v>
      </c>
      <c r="I1310" s="5" t="s">
        <v>13</v>
      </c>
      <c r="J1310" s="15">
        <f>4*400/4.4</f>
        <v>363.63636363636363</v>
      </c>
      <c r="K1310" s="17">
        <f t="shared" si="38"/>
        <v>4.1670000000000016</v>
      </c>
      <c r="L1310" s="15">
        <f>400*3782*4.1868/3600</f>
        <v>1759.3864000000001</v>
      </c>
      <c r="M1310" s="5">
        <f t="shared" si="39"/>
        <v>3.8890000000000029</v>
      </c>
      <c r="N1310" s="5"/>
      <c r="O1310" s="5">
        <f>50200*1.6978*R1310</f>
        <v>170459.12</v>
      </c>
      <c r="P1310" s="5"/>
      <c r="Q1310" s="5"/>
      <c r="R1310" s="5">
        <v>2</v>
      </c>
      <c r="S1310" s="5">
        <v>1800</v>
      </c>
      <c r="T1310" s="5"/>
      <c r="U1310" s="5">
        <v>720</v>
      </c>
      <c r="V1310" s="15">
        <f>0.7457*10*R1310</f>
        <v>14.914000000000001</v>
      </c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8"/>
      <c r="AP1310" s="8"/>
      <c r="AQ1310" s="8"/>
      <c r="AR1310" s="8"/>
      <c r="AS1310" s="8"/>
      <c r="AT1310" s="8"/>
      <c r="AU1310" s="8"/>
      <c r="AV1310" s="8"/>
      <c r="AW1310" s="8"/>
      <c r="AX1310" s="8"/>
      <c r="AY1310" s="8"/>
      <c r="AZ1310" s="8"/>
      <c r="BA1310" s="8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8"/>
      <c r="BS1310" s="8"/>
      <c r="BT1310" s="8"/>
      <c r="BU1310" s="8"/>
      <c r="BV1310" s="8"/>
      <c r="BW1310" s="8"/>
      <c r="BX1310" s="8"/>
      <c r="BY1310" s="8"/>
      <c r="BZ1310" s="8"/>
      <c r="CA1310" s="8"/>
      <c r="CB1310" s="8"/>
      <c r="CC1310" s="8"/>
      <c r="CD1310" s="8"/>
      <c r="CE1310" s="8"/>
      <c r="CF1310" s="8"/>
      <c r="CG1310" s="8"/>
      <c r="CH1310" s="8"/>
      <c r="CI1310" s="8"/>
      <c r="CJ1310" s="8"/>
      <c r="CK1310" s="8"/>
      <c r="CL1310" s="8"/>
      <c r="CM1310" s="8"/>
      <c r="CN1310" s="8"/>
      <c r="CO1310" s="8"/>
      <c r="CP1310" s="8"/>
      <c r="CQ1310" s="8"/>
      <c r="CR1310" s="8"/>
      <c r="CS1310" s="8"/>
      <c r="CT1310" s="8"/>
      <c r="CU1310" s="8"/>
      <c r="CV1310" s="8"/>
      <c r="CW1310" s="8"/>
      <c r="CX1310" s="8"/>
      <c r="CY1310" s="8"/>
      <c r="CZ1310" s="8"/>
      <c r="DA1310" s="8"/>
      <c r="DB1310" s="8"/>
      <c r="DC1310" s="8"/>
      <c r="DD1310" s="8"/>
      <c r="DE1310" s="8"/>
      <c r="DF1310" s="8"/>
      <c r="DG1310" s="8"/>
      <c r="DH1310" s="8"/>
      <c r="DI1310" s="8"/>
      <c r="DJ1310" s="8"/>
      <c r="DK1310" s="8"/>
      <c r="DL1310" s="8"/>
      <c r="DM1310" s="8"/>
      <c r="DN1310" s="8"/>
      <c r="DO1310" s="8"/>
      <c r="DP1310" s="8"/>
      <c r="DQ1310" s="8"/>
      <c r="DR1310" s="8"/>
      <c r="DS1310" s="8"/>
      <c r="DT1310" s="8"/>
      <c r="DU1310" s="8"/>
      <c r="DV1310" s="8"/>
      <c r="DW1310" s="8"/>
      <c r="DX1310" s="8"/>
      <c r="DY1310" s="8"/>
      <c r="DZ1310" s="8"/>
      <c r="EA1310" s="8"/>
      <c r="EB1310" s="8"/>
      <c r="EC1310" s="8"/>
      <c r="ED1310" s="8"/>
      <c r="EE1310" s="8"/>
      <c r="EF1310" s="8"/>
      <c r="EG1310" s="8"/>
      <c r="EH1310" s="8"/>
      <c r="EI1310" s="8"/>
      <c r="EJ1310" s="8"/>
      <c r="EK1310" s="8"/>
      <c r="EL1310" s="8"/>
      <c r="EM1310" s="8"/>
      <c r="EN1310" s="8"/>
      <c r="EO1310" s="8"/>
      <c r="EP1310" s="8"/>
      <c r="EQ1310" s="8"/>
      <c r="ER1310" s="8"/>
      <c r="ES1310" s="8"/>
      <c r="ET1310" s="8"/>
      <c r="EU1310" s="8"/>
      <c r="EV1310" s="8"/>
      <c r="EW1310" s="8"/>
      <c r="EX1310" s="8"/>
      <c r="EY1310" s="8"/>
      <c r="EZ1310" s="8"/>
      <c r="FA1310" s="8"/>
      <c r="FB1310" s="8"/>
      <c r="FC1310" s="8"/>
      <c r="FD1310" s="8"/>
      <c r="FE1310" s="8"/>
      <c r="FF1310" s="8"/>
      <c r="FG1310" s="8"/>
      <c r="FH1310" s="8"/>
      <c r="FI1310" s="8"/>
      <c r="FJ1310" s="8"/>
      <c r="FK1310" s="8"/>
      <c r="FL1310" s="8"/>
      <c r="FM1310" s="8"/>
      <c r="FN1310" s="8"/>
      <c r="FO1310" s="8"/>
      <c r="FP1310" s="8"/>
      <c r="FQ1310" s="8"/>
      <c r="FR1310" s="8"/>
      <c r="FS1310" s="8"/>
      <c r="FT1310" s="8"/>
      <c r="FU1310" s="8"/>
      <c r="FV1310" s="8"/>
      <c r="FW1310" s="8"/>
      <c r="FX1310" s="8"/>
      <c r="FY1310" s="8"/>
      <c r="FZ1310" s="8"/>
      <c r="GA1310" s="8"/>
      <c r="GB1310" s="8"/>
      <c r="GC1310" s="8"/>
      <c r="GD1310" s="8"/>
      <c r="GE1310" s="8"/>
      <c r="GF1310" s="8"/>
      <c r="GG1310" s="8"/>
      <c r="GH1310" s="8"/>
      <c r="GI1310" s="8"/>
      <c r="GJ1310" s="8"/>
      <c r="GK1310" s="8"/>
      <c r="GL1310" s="8"/>
      <c r="GM1310" s="8"/>
      <c r="GN1310" s="8"/>
      <c r="GO1310" s="8"/>
      <c r="GP1310" s="8"/>
      <c r="GQ1310" s="8"/>
      <c r="GR1310" s="8"/>
      <c r="GS1310" s="8"/>
      <c r="GT1310" s="8"/>
      <c r="GU1310" s="8"/>
      <c r="GV1310" s="8"/>
      <c r="GW1310" s="8"/>
      <c r="GX1310" s="8"/>
      <c r="GY1310" s="8"/>
      <c r="GZ1310" s="8"/>
      <c r="HA1310" s="8"/>
      <c r="HB1310" s="8"/>
      <c r="HC1310" s="8"/>
      <c r="HD1310" s="8"/>
      <c r="HE1310" s="8"/>
      <c r="HF1310" s="8"/>
      <c r="HG1310" s="8"/>
      <c r="HH1310" s="8"/>
      <c r="HI1310" s="8"/>
      <c r="HJ1310" s="8"/>
      <c r="HK1310" s="8"/>
      <c r="HL1310" s="8"/>
      <c r="HM1310" s="8"/>
      <c r="HN1310" s="8"/>
      <c r="HO1310" s="8"/>
      <c r="HP1310" s="8"/>
      <c r="HQ1310" s="8"/>
      <c r="HR1310" s="8"/>
      <c r="HS1310" s="8"/>
      <c r="HT1310" s="8"/>
      <c r="HU1310" s="8"/>
      <c r="HV1310" s="8"/>
      <c r="HW1310" s="8"/>
      <c r="HX1310" s="8"/>
      <c r="HY1310" s="8"/>
      <c r="HZ1310" s="8"/>
      <c r="IA1310" s="8"/>
      <c r="IB1310" s="8"/>
      <c r="IC1310" s="8"/>
      <c r="ID1310" s="8"/>
      <c r="IE1310" s="8"/>
      <c r="IF1310" s="8"/>
    </row>
    <row r="1311" spans="1:240" ht="30" customHeight="1">
      <c r="A1311" s="5">
        <v>1309</v>
      </c>
      <c r="B1311" s="5"/>
      <c r="C1311" s="5"/>
      <c r="D1311" s="5" t="s">
        <v>68</v>
      </c>
      <c r="E1311" s="5">
        <v>5400</v>
      </c>
      <c r="F1311" s="5">
        <v>4200</v>
      </c>
      <c r="G1311" s="5">
        <v>3385</v>
      </c>
      <c r="H1311" s="5">
        <v>5660</v>
      </c>
      <c r="I1311" s="5" t="s">
        <v>13</v>
      </c>
      <c r="J1311" s="15">
        <f>4*420/4.4</f>
        <v>381.81818181818181</v>
      </c>
      <c r="K1311" s="17">
        <f t="shared" si="38"/>
        <v>4.1670000000000016</v>
      </c>
      <c r="L1311" s="15">
        <f>420*3782*4.1868/3600</f>
        <v>1847.35572</v>
      </c>
      <c r="M1311" s="5">
        <f t="shared" si="39"/>
        <v>3.8890000000000029</v>
      </c>
      <c r="N1311" s="5"/>
      <c r="O1311" s="5">
        <f>52650*1.6978*R1311</f>
        <v>178778.34</v>
      </c>
      <c r="P1311" s="5"/>
      <c r="Q1311" s="5"/>
      <c r="R1311" s="5">
        <v>2</v>
      </c>
      <c r="S1311" s="5">
        <v>1900</v>
      </c>
      <c r="T1311" s="5"/>
      <c r="U1311" s="5">
        <v>720</v>
      </c>
      <c r="V1311" s="15">
        <f>0.7457*10*R1311</f>
        <v>14.914000000000001</v>
      </c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8"/>
      <c r="AP1311" s="8"/>
      <c r="AQ1311" s="8"/>
      <c r="AR1311" s="8"/>
      <c r="AS1311" s="8"/>
      <c r="AT1311" s="8"/>
      <c r="AU1311" s="8"/>
      <c r="AV1311" s="8"/>
      <c r="AW1311" s="8"/>
      <c r="AX1311" s="8"/>
      <c r="AY1311" s="8"/>
      <c r="AZ1311" s="8"/>
      <c r="BA1311" s="8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8"/>
      <c r="BS1311" s="8"/>
      <c r="BT1311" s="8"/>
      <c r="BU1311" s="8"/>
      <c r="BV1311" s="8"/>
      <c r="BW1311" s="8"/>
      <c r="BX1311" s="8"/>
      <c r="BY1311" s="8"/>
      <c r="BZ1311" s="8"/>
      <c r="CA1311" s="8"/>
      <c r="CB1311" s="8"/>
      <c r="CC1311" s="8"/>
      <c r="CD1311" s="8"/>
      <c r="CE1311" s="8"/>
      <c r="CF1311" s="8"/>
      <c r="CG1311" s="8"/>
      <c r="CH1311" s="8"/>
      <c r="CI1311" s="8"/>
      <c r="CJ1311" s="8"/>
      <c r="CK1311" s="8"/>
      <c r="CL1311" s="8"/>
      <c r="CM1311" s="8"/>
      <c r="CN1311" s="8"/>
      <c r="CO1311" s="8"/>
      <c r="CP1311" s="8"/>
      <c r="CQ1311" s="8"/>
      <c r="CR1311" s="8"/>
      <c r="CS1311" s="8"/>
      <c r="CT1311" s="8"/>
      <c r="CU1311" s="8"/>
      <c r="CV1311" s="8"/>
      <c r="CW1311" s="8"/>
      <c r="CX1311" s="8"/>
      <c r="CY1311" s="8"/>
      <c r="CZ1311" s="8"/>
      <c r="DA1311" s="8"/>
      <c r="DB1311" s="8"/>
      <c r="DC1311" s="8"/>
      <c r="DD1311" s="8"/>
      <c r="DE1311" s="8"/>
      <c r="DF1311" s="8"/>
      <c r="DG1311" s="8"/>
      <c r="DH1311" s="8"/>
      <c r="DI1311" s="8"/>
      <c r="DJ1311" s="8"/>
      <c r="DK1311" s="8"/>
      <c r="DL1311" s="8"/>
      <c r="DM1311" s="8"/>
      <c r="DN1311" s="8"/>
      <c r="DO1311" s="8"/>
      <c r="DP1311" s="8"/>
      <c r="DQ1311" s="8"/>
      <c r="DR1311" s="8"/>
      <c r="DS1311" s="8"/>
      <c r="DT1311" s="8"/>
      <c r="DU1311" s="8"/>
      <c r="DV1311" s="8"/>
      <c r="DW1311" s="8"/>
      <c r="DX1311" s="8"/>
      <c r="DY1311" s="8"/>
      <c r="DZ1311" s="8"/>
      <c r="EA1311" s="8"/>
      <c r="EB1311" s="8"/>
      <c r="EC1311" s="8"/>
      <c r="ED1311" s="8"/>
      <c r="EE1311" s="8"/>
      <c r="EF1311" s="8"/>
      <c r="EG1311" s="8"/>
      <c r="EH1311" s="8"/>
      <c r="EI1311" s="8"/>
      <c r="EJ1311" s="8"/>
      <c r="EK1311" s="8"/>
      <c r="EL1311" s="8"/>
      <c r="EM1311" s="8"/>
      <c r="EN1311" s="8"/>
      <c r="EO1311" s="8"/>
      <c r="EP1311" s="8"/>
      <c r="EQ1311" s="8"/>
      <c r="ER1311" s="8"/>
      <c r="ES1311" s="8"/>
      <c r="ET1311" s="8"/>
      <c r="EU1311" s="8"/>
      <c r="EV1311" s="8"/>
      <c r="EW1311" s="8"/>
      <c r="EX1311" s="8"/>
      <c r="EY1311" s="8"/>
      <c r="EZ1311" s="8"/>
      <c r="FA1311" s="8"/>
      <c r="FB1311" s="8"/>
      <c r="FC1311" s="8"/>
      <c r="FD1311" s="8"/>
      <c r="FE1311" s="8"/>
      <c r="FF1311" s="8"/>
      <c r="FG1311" s="8"/>
      <c r="FH1311" s="8"/>
      <c r="FI1311" s="8"/>
      <c r="FJ1311" s="8"/>
      <c r="FK1311" s="8"/>
      <c r="FL1311" s="8"/>
      <c r="FM1311" s="8"/>
      <c r="FN1311" s="8"/>
      <c r="FO1311" s="8"/>
      <c r="FP1311" s="8"/>
      <c r="FQ1311" s="8"/>
      <c r="FR1311" s="8"/>
      <c r="FS1311" s="8"/>
      <c r="FT1311" s="8"/>
      <c r="FU1311" s="8"/>
      <c r="FV1311" s="8"/>
      <c r="FW1311" s="8"/>
      <c r="FX1311" s="8"/>
      <c r="FY1311" s="8"/>
      <c r="FZ1311" s="8"/>
      <c r="GA1311" s="8"/>
      <c r="GB1311" s="8"/>
      <c r="GC1311" s="8"/>
      <c r="GD1311" s="8"/>
      <c r="GE1311" s="8"/>
      <c r="GF1311" s="8"/>
      <c r="GG1311" s="8"/>
      <c r="GH1311" s="8"/>
      <c r="GI1311" s="8"/>
      <c r="GJ1311" s="8"/>
      <c r="GK1311" s="8"/>
      <c r="GL1311" s="8"/>
      <c r="GM1311" s="8"/>
      <c r="GN1311" s="8"/>
      <c r="GO1311" s="8"/>
      <c r="GP1311" s="8"/>
      <c r="GQ1311" s="8"/>
      <c r="GR1311" s="8"/>
      <c r="GS1311" s="8"/>
      <c r="GT1311" s="8"/>
      <c r="GU1311" s="8"/>
      <c r="GV1311" s="8"/>
      <c r="GW1311" s="8"/>
      <c r="GX1311" s="8"/>
      <c r="GY1311" s="8"/>
      <c r="GZ1311" s="8"/>
      <c r="HA1311" s="8"/>
      <c r="HB1311" s="8"/>
      <c r="HC1311" s="8"/>
      <c r="HD1311" s="8"/>
      <c r="HE1311" s="8"/>
      <c r="HF1311" s="8"/>
      <c r="HG1311" s="8"/>
      <c r="HH1311" s="8"/>
      <c r="HI1311" s="8"/>
      <c r="HJ1311" s="8"/>
      <c r="HK1311" s="8"/>
      <c r="HL1311" s="8"/>
      <c r="HM1311" s="8"/>
      <c r="HN1311" s="8"/>
      <c r="HO1311" s="8"/>
      <c r="HP1311" s="8"/>
      <c r="HQ1311" s="8"/>
      <c r="HR1311" s="8"/>
      <c r="HS1311" s="8"/>
      <c r="HT1311" s="8"/>
      <c r="HU1311" s="8"/>
      <c r="HV1311" s="8"/>
      <c r="HW1311" s="8"/>
      <c r="HX1311" s="8"/>
      <c r="HY1311" s="8"/>
      <c r="HZ1311" s="8"/>
      <c r="IA1311" s="8"/>
      <c r="IB1311" s="8"/>
      <c r="IC1311" s="8"/>
      <c r="ID1311" s="8"/>
      <c r="IE1311" s="8"/>
      <c r="IF1311" s="8"/>
    </row>
    <row r="1312" spans="1:240" ht="30" customHeight="1">
      <c r="A1312" s="5">
        <v>1310</v>
      </c>
      <c r="B1312" s="5"/>
      <c r="C1312" s="5"/>
      <c r="D1312" s="5" t="s">
        <v>68</v>
      </c>
      <c r="E1312" s="5">
        <v>5400</v>
      </c>
      <c r="F1312" s="5">
        <v>4500</v>
      </c>
      <c r="G1312" s="5">
        <v>3385</v>
      </c>
      <c r="H1312" s="5">
        <v>6150</v>
      </c>
      <c r="I1312" s="5" t="s">
        <v>13</v>
      </c>
      <c r="J1312" s="15">
        <f>4*450/4.4</f>
        <v>409.09090909090907</v>
      </c>
      <c r="K1312" s="17">
        <f t="shared" si="38"/>
        <v>4.1670000000000016</v>
      </c>
      <c r="L1312" s="15">
        <f>450*3782*4.1868/3600</f>
        <v>1979.3097</v>
      </c>
      <c r="M1312" s="5">
        <f t="shared" si="39"/>
        <v>3.8890000000000029</v>
      </c>
      <c r="N1312" s="5"/>
      <c r="O1312" s="5">
        <f>56500*1.6978*R1312</f>
        <v>191851.4</v>
      </c>
      <c r="P1312" s="5"/>
      <c r="Q1312" s="5"/>
      <c r="R1312" s="5">
        <v>2</v>
      </c>
      <c r="S1312" s="5">
        <v>1900</v>
      </c>
      <c r="T1312" s="5"/>
      <c r="U1312" s="5">
        <v>720</v>
      </c>
      <c r="V1312" s="15">
        <f>0.7457*10*R1312</f>
        <v>14.914000000000001</v>
      </c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8"/>
      <c r="BS1312" s="8"/>
      <c r="BT1312" s="8"/>
      <c r="BU1312" s="8"/>
      <c r="BV1312" s="8"/>
      <c r="BW1312" s="8"/>
      <c r="BX1312" s="8"/>
      <c r="BY1312" s="8"/>
      <c r="BZ1312" s="8"/>
      <c r="CA1312" s="8"/>
      <c r="CB1312" s="8"/>
      <c r="CC1312" s="8"/>
      <c r="CD1312" s="8"/>
      <c r="CE1312" s="8"/>
      <c r="CF1312" s="8"/>
      <c r="CG1312" s="8"/>
      <c r="CH1312" s="8"/>
      <c r="CI1312" s="8"/>
      <c r="CJ1312" s="8"/>
      <c r="CK1312" s="8"/>
      <c r="CL1312" s="8"/>
      <c r="CM1312" s="8"/>
      <c r="CN1312" s="8"/>
      <c r="CO1312" s="8"/>
      <c r="CP1312" s="8"/>
      <c r="CQ1312" s="8"/>
      <c r="CR1312" s="8"/>
      <c r="CS1312" s="8"/>
      <c r="CT1312" s="8"/>
      <c r="CU1312" s="8"/>
      <c r="CV1312" s="8"/>
      <c r="CW1312" s="8"/>
      <c r="CX1312" s="8"/>
      <c r="CY1312" s="8"/>
      <c r="CZ1312" s="8"/>
      <c r="DA1312" s="8"/>
      <c r="DB1312" s="8"/>
      <c r="DC1312" s="8"/>
      <c r="DD1312" s="8"/>
      <c r="DE1312" s="8"/>
      <c r="DF1312" s="8"/>
      <c r="DG1312" s="8"/>
      <c r="DH1312" s="8"/>
      <c r="DI1312" s="8"/>
      <c r="DJ1312" s="8"/>
      <c r="DK1312" s="8"/>
      <c r="DL1312" s="8"/>
      <c r="DM1312" s="8"/>
      <c r="DN1312" s="8"/>
      <c r="DO1312" s="8"/>
      <c r="DP1312" s="8"/>
      <c r="DQ1312" s="8"/>
      <c r="DR1312" s="8"/>
      <c r="DS1312" s="8"/>
      <c r="DT1312" s="8"/>
      <c r="DU1312" s="8"/>
      <c r="DV1312" s="8"/>
      <c r="DW1312" s="8"/>
      <c r="DX1312" s="8"/>
      <c r="DY1312" s="8"/>
      <c r="DZ1312" s="8"/>
      <c r="EA1312" s="8"/>
      <c r="EB1312" s="8"/>
      <c r="EC1312" s="8"/>
      <c r="ED1312" s="8"/>
      <c r="EE1312" s="8"/>
      <c r="EF1312" s="8"/>
      <c r="EG1312" s="8"/>
      <c r="EH1312" s="8"/>
      <c r="EI1312" s="8"/>
      <c r="EJ1312" s="8"/>
      <c r="EK1312" s="8"/>
      <c r="EL1312" s="8"/>
      <c r="EM1312" s="8"/>
      <c r="EN1312" s="8"/>
      <c r="EO1312" s="8"/>
      <c r="EP1312" s="8"/>
      <c r="EQ1312" s="8"/>
      <c r="ER1312" s="8"/>
      <c r="ES1312" s="8"/>
      <c r="ET1312" s="8"/>
      <c r="EU1312" s="8"/>
      <c r="EV1312" s="8"/>
      <c r="EW1312" s="8"/>
      <c r="EX1312" s="8"/>
      <c r="EY1312" s="8"/>
      <c r="EZ1312" s="8"/>
      <c r="FA1312" s="8"/>
      <c r="FB1312" s="8"/>
      <c r="FC1312" s="8"/>
      <c r="FD1312" s="8"/>
      <c r="FE1312" s="8"/>
      <c r="FF1312" s="8"/>
      <c r="FG1312" s="8"/>
      <c r="FH1312" s="8"/>
      <c r="FI1312" s="8"/>
      <c r="FJ1312" s="8"/>
      <c r="FK1312" s="8"/>
      <c r="FL1312" s="8"/>
      <c r="FM1312" s="8"/>
      <c r="FN1312" s="8"/>
      <c r="FO1312" s="8"/>
      <c r="FP1312" s="8"/>
      <c r="FQ1312" s="8"/>
      <c r="FR1312" s="8"/>
      <c r="FS1312" s="8"/>
      <c r="FT1312" s="8"/>
      <c r="FU1312" s="8"/>
      <c r="FV1312" s="8"/>
      <c r="FW1312" s="8"/>
      <c r="FX1312" s="8"/>
      <c r="FY1312" s="8"/>
      <c r="FZ1312" s="8"/>
      <c r="GA1312" s="8"/>
      <c r="GB1312" s="8"/>
      <c r="GC1312" s="8"/>
      <c r="GD1312" s="8"/>
      <c r="GE1312" s="8"/>
      <c r="GF1312" s="8"/>
      <c r="GG1312" s="8"/>
      <c r="GH1312" s="8"/>
      <c r="GI1312" s="8"/>
      <c r="GJ1312" s="8"/>
      <c r="GK1312" s="8"/>
      <c r="GL1312" s="8"/>
      <c r="GM1312" s="8"/>
      <c r="GN1312" s="8"/>
      <c r="GO1312" s="8"/>
      <c r="GP1312" s="8"/>
      <c r="GQ1312" s="8"/>
      <c r="GR1312" s="8"/>
      <c r="GS1312" s="8"/>
      <c r="GT1312" s="8"/>
      <c r="GU1312" s="8"/>
      <c r="GV1312" s="8"/>
      <c r="GW1312" s="8"/>
      <c r="GX1312" s="8"/>
      <c r="GY1312" s="8"/>
      <c r="GZ1312" s="8"/>
      <c r="HA1312" s="8"/>
      <c r="HB1312" s="8"/>
      <c r="HC1312" s="8"/>
      <c r="HD1312" s="8"/>
      <c r="HE1312" s="8"/>
      <c r="HF1312" s="8"/>
      <c r="HG1312" s="8"/>
      <c r="HH1312" s="8"/>
      <c r="HI1312" s="8"/>
      <c r="HJ1312" s="8"/>
      <c r="HK1312" s="8"/>
      <c r="HL1312" s="8"/>
      <c r="HM1312" s="8"/>
      <c r="HN1312" s="8"/>
      <c r="HO1312" s="8"/>
      <c r="HP1312" s="8"/>
      <c r="HQ1312" s="8"/>
      <c r="HR1312" s="8"/>
      <c r="HS1312" s="8"/>
      <c r="HT1312" s="8"/>
      <c r="HU1312" s="8"/>
      <c r="HV1312" s="8"/>
      <c r="HW1312" s="8"/>
      <c r="HX1312" s="8"/>
      <c r="HY1312" s="8"/>
      <c r="HZ1312" s="8"/>
      <c r="IA1312" s="8"/>
      <c r="IB1312" s="8"/>
      <c r="IC1312" s="8"/>
      <c r="ID1312" s="8"/>
      <c r="IE1312" s="8"/>
      <c r="IF1312" s="8"/>
    </row>
    <row r="1313" spans="1:240" ht="30" customHeight="1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17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8"/>
      <c r="AP1313" s="8"/>
      <c r="AQ1313" s="8"/>
      <c r="AR1313" s="8"/>
      <c r="AS1313" s="8"/>
      <c r="AT1313" s="8"/>
      <c r="AU1313" s="8"/>
      <c r="AV1313" s="8"/>
      <c r="AW1313" s="8"/>
      <c r="AX1313" s="8"/>
      <c r="AY1313" s="8"/>
      <c r="AZ1313" s="8"/>
      <c r="BA1313" s="8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8"/>
      <c r="BS1313" s="8"/>
      <c r="BT1313" s="8"/>
      <c r="BU1313" s="8"/>
      <c r="BV1313" s="8"/>
      <c r="BW1313" s="8"/>
      <c r="BX1313" s="8"/>
      <c r="BY1313" s="8"/>
      <c r="BZ1313" s="8"/>
      <c r="CA1313" s="8"/>
      <c r="CB1313" s="8"/>
      <c r="CC1313" s="8"/>
      <c r="CD1313" s="8"/>
      <c r="CE1313" s="8"/>
      <c r="CF1313" s="8"/>
      <c r="CG1313" s="8"/>
      <c r="CH1313" s="8"/>
      <c r="CI1313" s="8"/>
      <c r="CJ1313" s="8"/>
      <c r="CK1313" s="8"/>
      <c r="CL1313" s="8"/>
      <c r="CM1313" s="8"/>
      <c r="CN1313" s="8"/>
      <c r="CO1313" s="8"/>
      <c r="CP1313" s="8"/>
      <c r="CQ1313" s="8"/>
      <c r="CR1313" s="8"/>
      <c r="CS1313" s="8"/>
      <c r="CT1313" s="8"/>
      <c r="CU1313" s="8"/>
      <c r="CV1313" s="8"/>
      <c r="CW1313" s="8"/>
      <c r="CX1313" s="8"/>
      <c r="CY1313" s="8"/>
      <c r="CZ1313" s="8"/>
      <c r="DA1313" s="8"/>
      <c r="DB1313" s="8"/>
      <c r="DC1313" s="8"/>
      <c r="DD1313" s="8"/>
      <c r="DE1313" s="8"/>
      <c r="DF1313" s="8"/>
      <c r="DG1313" s="8"/>
      <c r="DH1313" s="8"/>
      <c r="DI1313" s="8"/>
      <c r="DJ1313" s="8"/>
      <c r="DK1313" s="8"/>
      <c r="DL1313" s="8"/>
      <c r="DM1313" s="8"/>
      <c r="DN1313" s="8"/>
      <c r="DO1313" s="8"/>
      <c r="DP1313" s="8"/>
      <c r="DQ1313" s="8"/>
      <c r="DR1313" s="8"/>
      <c r="DS1313" s="8"/>
      <c r="DT1313" s="8"/>
      <c r="DU1313" s="8"/>
      <c r="DV1313" s="8"/>
      <c r="DW1313" s="8"/>
      <c r="DX1313" s="8"/>
      <c r="DY1313" s="8"/>
      <c r="DZ1313" s="8"/>
      <c r="EA1313" s="8"/>
      <c r="EB1313" s="8"/>
      <c r="EC1313" s="8"/>
      <c r="ED1313" s="8"/>
      <c r="EE1313" s="8"/>
      <c r="EF1313" s="8"/>
      <c r="EG1313" s="8"/>
      <c r="EH1313" s="8"/>
      <c r="EI1313" s="8"/>
      <c r="EJ1313" s="8"/>
      <c r="EK1313" s="8"/>
      <c r="EL1313" s="8"/>
      <c r="EM1313" s="8"/>
      <c r="EN1313" s="8"/>
      <c r="EO1313" s="8"/>
      <c r="EP1313" s="8"/>
      <c r="EQ1313" s="8"/>
      <c r="ER1313" s="8"/>
      <c r="ES1313" s="8"/>
      <c r="ET1313" s="8"/>
      <c r="EU1313" s="8"/>
      <c r="EV1313" s="8"/>
      <c r="EW1313" s="8"/>
      <c r="EX1313" s="8"/>
      <c r="EY1313" s="8"/>
      <c r="EZ1313" s="8"/>
      <c r="FA1313" s="8"/>
      <c r="FB1313" s="8"/>
      <c r="FC1313" s="8"/>
      <c r="FD1313" s="8"/>
      <c r="FE1313" s="8"/>
      <c r="FF1313" s="8"/>
      <c r="FG1313" s="8"/>
      <c r="FH1313" s="8"/>
      <c r="FI1313" s="8"/>
      <c r="FJ1313" s="8"/>
      <c r="FK1313" s="8"/>
      <c r="FL1313" s="8"/>
      <c r="FM1313" s="8"/>
      <c r="FN1313" s="8"/>
      <c r="FO1313" s="8"/>
      <c r="FP1313" s="8"/>
      <c r="FQ1313" s="8"/>
      <c r="FR1313" s="8"/>
      <c r="FS1313" s="8"/>
      <c r="FT1313" s="8"/>
      <c r="FU1313" s="8"/>
      <c r="FV1313" s="8"/>
      <c r="FW1313" s="8"/>
      <c r="FX1313" s="8"/>
      <c r="FY1313" s="8"/>
      <c r="FZ1313" s="8"/>
      <c r="GA1313" s="8"/>
      <c r="GB1313" s="8"/>
      <c r="GC1313" s="8"/>
      <c r="GD1313" s="8"/>
      <c r="GE1313" s="8"/>
      <c r="GF1313" s="8"/>
      <c r="GG1313" s="8"/>
      <c r="GH1313" s="8"/>
      <c r="GI1313" s="8"/>
      <c r="GJ1313" s="8"/>
      <c r="GK1313" s="8"/>
      <c r="GL1313" s="8"/>
      <c r="GM1313" s="8"/>
      <c r="GN1313" s="8"/>
      <c r="GO1313" s="8"/>
      <c r="GP1313" s="8"/>
      <c r="GQ1313" s="8"/>
      <c r="GR1313" s="8"/>
      <c r="GS1313" s="8"/>
      <c r="GT1313" s="8"/>
      <c r="GU1313" s="8"/>
      <c r="GV1313" s="8"/>
      <c r="GW1313" s="8"/>
      <c r="GX1313" s="8"/>
      <c r="GY1313" s="8"/>
      <c r="GZ1313" s="8"/>
      <c r="HA1313" s="8"/>
      <c r="HB1313" s="8"/>
      <c r="HC1313" s="8"/>
      <c r="HD1313" s="8"/>
      <c r="HE1313" s="8"/>
      <c r="HF1313" s="8"/>
      <c r="HG1313" s="8"/>
      <c r="HH1313" s="8"/>
      <c r="HI1313" s="8"/>
      <c r="HJ1313" s="8"/>
      <c r="HK1313" s="8"/>
      <c r="HL1313" s="8"/>
      <c r="HM1313" s="8"/>
      <c r="HN1313" s="8"/>
      <c r="HO1313" s="8"/>
      <c r="HP1313" s="8"/>
      <c r="HQ1313" s="8"/>
      <c r="HR1313" s="8"/>
      <c r="HS1313" s="8"/>
      <c r="HT1313" s="8"/>
      <c r="HU1313" s="8"/>
      <c r="HV1313" s="8"/>
      <c r="HW1313" s="8"/>
      <c r="HX1313" s="8"/>
      <c r="HY1313" s="8"/>
      <c r="HZ1313" s="8"/>
      <c r="IA1313" s="8"/>
      <c r="IB1313" s="8"/>
      <c r="IC1313" s="8"/>
      <c r="ID1313" s="8"/>
      <c r="IE1313" s="8"/>
      <c r="IF1313" s="8"/>
    </row>
    <row r="1314" spans="1:240" ht="30" customHeight="1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17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8"/>
      <c r="BS1314" s="8"/>
      <c r="BT1314" s="8"/>
      <c r="BU1314" s="8"/>
      <c r="BV1314" s="8"/>
      <c r="BW1314" s="8"/>
      <c r="BX1314" s="8"/>
      <c r="BY1314" s="8"/>
      <c r="BZ1314" s="8"/>
      <c r="CA1314" s="8"/>
      <c r="CB1314" s="8"/>
      <c r="CC1314" s="8"/>
      <c r="CD1314" s="8"/>
      <c r="CE1314" s="8"/>
      <c r="CF1314" s="8"/>
      <c r="CG1314" s="8"/>
      <c r="CH1314" s="8"/>
      <c r="CI1314" s="8"/>
      <c r="CJ1314" s="8"/>
      <c r="CK1314" s="8"/>
      <c r="CL1314" s="8"/>
      <c r="CM1314" s="8"/>
      <c r="CN1314" s="8"/>
      <c r="CO1314" s="8"/>
      <c r="CP1314" s="8"/>
      <c r="CQ1314" s="8"/>
      <c r="CR1314" s="8"/>
      <c r="CS1314" s="8"/>
      <c r="CT1314" s="8"/>
      <c r="CU1314" s="8"/>
      <c r="CV1314" s="8"/>
      <c r="CW1314" s="8"/>
      <c r="CX1314" s="8"/>
      <c r="CY1314" s="8"/>
      <c r="CZ1314" s="8"/>
      <c r="DA1314" s="8"/>
      <c r="DB1314" s="8"/>
      <c r="DC1314" s="8"/>
      <c r="DD1314" s="8"/>
      <c r="DE1314" s="8"/>
      <c r="DF1314" s="8"/>
      <c r="DG1314" s="8"/>
      <c r="DH1314" s="8"/>
      <c r="DI1314" s="8"/>
      <c r="DJ1314" s="8"/>
      <c r="DK1314" s="8"/>
      <c r="DL1314" s="8"/>
      <c r="DM1314" s="8"/>
      <c r="DN1314" s="8"/>
      <c r="DO1314" s="8"/>
      <c r="DP1314" s="8"/>
      <c r="DQ1314" s="8"/>
      <c r="DR1314" s="8"/>
      <c r="DS1314" s="8"/>
      <c r="DT1314" s="8"/>
      <c r="DU1314" s="8"/>
      <c r="DV1314" s="8"/>
      <c r="DW1314" s="8"/>
      <c r="DX1314" s="8"/>
      <c r="DY1314" s="8"/>
      <c r="DZ1314" s="8"/>
      <c r="EA1314" s="8"/>
      <c r="EB1314" s="8"/>
      <c r="EC1314" s="8"/>
      <c r="ED1314" s="8"/>
      <c r="EE1314" s="8"/>
      <c r="EF1314" s="8"/>
      <c r="EG1314" s="8"/>
      <c r="EH1314" s="8"/>
      <c r="EI1314" s="8"/>
      <c r="EJ1314" s="8"/>
      <c r="EK1314" s="8"/>
      <c r="EL1314" s="8"/>
      <c r="EM1314" s="8"/>
      <c r="EN1314" s="8"/>
      <c r="EO1314" s="8"/>
      <c r="EP1314" s="8"/>
      <c r="EQ1314" s="8"/>
      <c r="ER1314" s="8"/>
      <c r="ES1314" s="8"/>
      <c r="ET1314" s="8"/>
      <c r="EU1314" s="8"/>
      <c r="EV1314" s="8"/>
      <c r="EW1314" s="8"/>
      <c r="EX1314" s="8"/>
      <c r="EY1314" s="8"/>
      <c r="EZ1314" s="8"/>
      <c r="FA1314" s="8"/>
      <c r="FB1314" s="8"/>
      <c r="FC1314" s="8"/>
      <c r="FD1314" s="8"/>
      <c r="FE1314" s="8"/>
      <c r="FF1314" s="8"/>
      <c r="FG1314" s="8"/>
      <c r="FH1314" s="8"/>
      <c r="FI1314" s="8"/>
      <c r="FJ1314" s="8"/>
      <c r="FK1314" s="8"/>
      <c r="FL1314" s="8"/>
      <c r="FM1314" s="8"/>
      <c r="FN1314" s="8"/>
      <c r="FO1314" s="8"/>
      <c r="FP1314" s="8"/>
      <c r="FQ1314" s="8"/>
      <c r="FR1314" s="8"/>
      <c r="FS1314" s="8"/>
      <c r="FT1314" s="8"/>
      <c r="FU1314" s="8"/>
      <c r="FV1314" s="8"/>
      <c r="FW1314" s="8"/>
      <c r="FX1314" s="8"/>
      <c r="FY1314" s="8"/>
      <c r="FZ1314" s="8"/>
      <c r="GA1314" s="8"/>
      <c r="GB1314" s="8"/>
      <c r="GC1314" s="8"/>
      <c r="GD1314" s="8"/>
      <c r="GE1314" s="8"/>
      <c r="GF1314" s="8"/>
      <c r="GG1314" s="8"/>
      <c r="GH1314" s="8"/>
      <c r="GI1314" s="8"/>
      <c r="GJ1314" s="8"/>
      <c r="GK1314" s="8"/>
      <c r="GL1314" s="8"/>
      <c r="GM1314" s="8"/>
      <c r="GN1314" s="8"/>
      <c r="GO1314" s="8"/>
      <c r="GP1314" s="8"/>
      <c r="GQ1314" s="8"/>
      <c r="GR1314" s="8"/>
      <c r="GS1314" s="8"/>
      <c r="GT1314" s="8"/>
      <c r="GU1314" s="8"/>
      <c r="GV1314" s="8"/>
      <c r="GW1314" s="8"/>
      <c r="GX1314" s="8"/>
      <c r="GY1314" s="8"/>
      <c r="GZ1314" s="8"/>
      <c r="HA1314" s="8"/>
      <c r="HB1314" s="8"/>
      <c r="HC1314" s="8"/>
      <c r="HD1314" s="8"/>
      <c r="HE1314" s="8"/>
      <c r="HF1314" s="8"/>
      <c r="HG1314" s="8"/>
      <c r="HH1314" s="8"/>
      <c r="HI1314" s="8"/>
      <c r="HJ1314" s="8"/>
      <c r="HK1314" s="8"/>
      <c r="HL1314" s="8"/>
      <c r="HM1314" s="8"/>
      <c r="HN1314" s="8"/>
      <c r="HO1314" s="8"/>
      <c r="HP1314" s="8"/>
      <c r="HQ1314" s="8"/>
      <c r="HR1314" s="8"/>
      <c r="HS1314" s="8"/>
      <c r="HT1314" s="8"/>
      <c r="HU1314" s="8"/>
      <c r="HV1314" s="8"/>
      <c r="HW1314" s="8"/>
      <c r="HX1314" s="8"/>
      <c r="HY1314" s="8"/>
      <c r="HZ1314" s="8"/>
      <c r="IA1314" s="8"/>
      <c r="IB1314" s="8"/>
      <c r="IC1314" s="8"/>
      <c r="ID1314" s="8"/>
      <c r="IE1314" s="8"/>
      <c r="IF1314" s="8"/>
    </row>
    <row r="1315" spans="1:240" ht="30" customHeight="1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17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8"/>
      <c r="AP1315" s="8"/>
      <c r="AQ1315" s="8"/>
      <c r="AR1315" s="8"/>
      <c r="AS1315" s="8"/>
      <c r="AT1315" s="8"/>
      <c r="AU1315" s="8"/>
      <c r="AV1315" s="8"/>
      <c r="AW1315" s="8"/>
      <c r="AX1315" s="8"/>
      <c r="AY1315" s="8"/>
      <c r="AZ1315" s="8"/>
      <c r="BA1315" s="8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8"/>
      <c r="BS1315" s="8"/>
      <c r="BT1315" s="8"/>
      <c r="BU1315" s="8"/>
      <c r="BV1315" s="8"/>
      <c r="BW1315" s="8"/>
      <c r="BX1315" s="8"/>
      <c r="BY1315" s="8"/>
      <c r="BZ1315" s="8"/>
      <c r="CA1315" s="8"/>
      <c r="CB1315" s="8"/>
      <c r="CC1315" s="8"/>
      <c r="CD1315" s="8"/>
      <c r="CE1315" s="8"/>
      <c r="CF1315" s="8"/>
      <c r="CG1315" s="8"/>
      <c r="CH1315" s="8"/>
      <c r="CI1315" s="8"/>
      <c r="CJ1315" s="8"/>
      <c r="CK1315" s="8"/>
      <c r="CL1315" s="8"/>
      <c r="CM1315" s="8"/>
      <c r="CN1315" s="8"/>
      <c r="CO1315" s="8"/>
      <c r="CP1315" s="8"/>
      <c r="CQ1315" s="8"/>
      <c r="CR1315" s="8"/>
      <c r="CS1315" s="8"/>
      <c r="CT1315" s="8"/>
      <c r="CU1315" s="8"/>
      <c r="CV1315" s="8"/>
      <c r="CW1315" s="8"/>
      <c r="CX1315" s="8"/>
      <c r="CY1315" s="8"/>
      <c r="CZ1315" s="8"/>
      <c r="DA1315" s="8"/>
      <c r="DB1315" s="8"/>
      <c r="DC1315" s="8"/>
      <c r="DD1315" s="8"/>
      <c r="DE1315" s="8"/>
      <c r="DF1315" s="8"/>
      <c r="DG1315" s="8"/>
      <c r="DH1315" s="8"/>
      <c r="DI1315" s="8"/>
      <c r="DJ1315" s="8"/>
      <c r="DK1315" s="8"/>
      <c r="DL1315" s="8"/>
      <c r="DM1315" s="8"/>
      <c r="DN1315" s="8"/>
      <c r="DO1315" s="8"/>
      <c r="DP1315" s="8"/>
      <c r="DQ1315" s="8"/>
      <c r="DR1315" s="8"/>
      <c r="DS1315" s="8"/>
      <c r="DT1315" s="8"/>
      <c r="DU1315" s="8"/>
      <c r="DV1315" s="8"/>
      <c r="DW1315" s="8"/>
      <c r="DX1315" s="8"/>
      <c r="DY1315" s="8"/>
      <c r="DZ1315" s="8"/>
      <c r="EA1315" s="8"/>
      <c r="EB1315" s="8"/>
      <c r="EC1315" s="8"/>
      <c r="ED1315" s="8"/>
      <c r="EE1315" s="8"/>
      <c r="EF1315" s="8"/>
      <c r="EG1315" s="8"/>
      <c r="EH1315" s="8"/>
      <c r="EI1315" s="8"/>
      <c r="EJ1315" s="8"/>
      <c r="EK1315" s="8"/>
      <c r="EL1315" s="8"/>
      <c r="EM1315" s="8"/>
      <c r="EN1315" s="8"/>
      <c r="EO1315" s="8"/>
      <c r="EP1315" s="8"/>
      <c r="EQ1315" s="8"/>
      <c r="ER1315" s="8"/>
      <c r="ES1315" s="8"/>
      <c r="ET1315" s="8"/>
      <c r="EU1315" s="8"/>
      <c r="EV1315" s="8"/>
      <c r="EW1315" s="8"/>
      <c r="EX1315" s="8"/>
      <c r="EY1315" s="8"/>
      <c r="EZ1315" s="8"/>
      <c r="FA1315" s="8"/>
      <c r="FB1315" s="8"/>
      <c r="FC1315" s="8"/>
      <c r="FD1315" s="8"/>
      <c r="FE1315" s="8"/>
      <c r="FF1315" s="8"/>
      <c r="FG1315" s="8"/>
      <c r="FH1315" s="8"/>
      <c r="FI1315" s="8"/>
      <c r="FJ1315" s="8"/>
      <c r="FK1315" s="8"/>
      <c r="FL1315" s="8"/>
      <c r="FM1315" s="8"/>
      <c r="FN1315" s="8"/>
      <c r="FO1315" s="8"/>
      <c r="FP1315" s="8"/>
      <c r="FQ1315" s="8"/>
      <c r="FR1315" s="8"/>
      <c r="FS1315" s="8"/>
      <c r="FT1315" s="8"/>
      <c r="FU1315" s="8"/>
      <c r="FV1315" s="8"/>
      <c r="FW1315" s="8"/>
      <c r="FX1315" s="8"/>
      <c r="FY1315" s="8"/>
      <c r="FZ1315" s="8"/>
      <c r="GA1315" s="8"/>
      <c r="GB1315" s="8"/>
      <c r="GC1315" s="8"/>
      <c r="GD1315" s="8"/>
      <c r="GE1315" s="8"/>
      <c r="GF1315" s="8"/>
      <c r="GG1315" s="8"/>
      <c r="GH1315" s="8"/>
      <c r="GI1315" s="8"/>
      <c r="GJ1315" s="8"/>
      <c r="GK1315" s="8"/>
      <c r="GL1315" s="8"/>
      <c r="GM1315" s="8"/>
      <c r="GN1315" s="8"/>
      <c r="GO1315" s="8"/>
      <c r="GP1315" s="8"/>
      <c r="GQ1315" s="8"/>
      <c r="GR1315" s="8"/>
      <c r="GS1315" s="8"/>
      <c r="GT1315" s="8"/>
      <c r="GU1315" s="8"/>
      <c r="GV1315" s="8"/>
      <c r="GW1315" s="8"/>
      <c r="GX1315" s="8"/>
      <c r="GY1315" s="8"/>
      <c r="GZ1315" s="8"/>
      <c r="HA1315" s="8"/>
      <c r="HB1315" s="8"/>
      <c r="HC1315" s="8"/>
      <c r="HD1315" s="8"/>
      <c r="HE1315" s="8"/>
      <c r="HF1315" s="8"/>
      <c r="HG1315" s="8"/>
      <c r="HH1315" s="8"/>
      <c r="HI1315" s="8"/>
      <c r="HJ1315" s="8"/>
      <c r="HK1315" s="8"/>
      <c r="HL1315" s="8"/>
      <c r="HM1315" s="8"/>
      <c r="HN1315" s="8"/>
      <c r="HO1315" s="8"/>
      <c r="HP1315" s="8"/>
      <c r="HQ1315" s="8"/>
      <c r="HR1315" s="8"/>
      <c r="HS1315" s="8"/>
      <c r="HT1315" s="8"/>
      <c r="HU1315" s="8"/>
      <c r="HV1315" s="8"/>
      <c r="HW1315" s="8"/>
      <c r="HX1315" s="8"/>
      <c r="HY1315" s="8"/>
      <c r="HZ1315" s="8"/>
      <c r="IA1315" s="8"/>
      <c r="IB1315" s="8"/>
      <c r="IC1315" s="8"/>
      <c r="ID1315" s="8"/>
      <c r="IE1315" s="8"/>
      <c r="IF1315" s="8"/>
    </row>
    <row r="1316" spans="1:240" ht="30" customHeight="1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17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8"/>
      <c r="BS1316" s="8"/>
      <c r="BT1316" s="8"/>
      <c r="BU1316" s="8"/>
      <c r="BV1316" s="8"/>
      <c r="BW1316" s="8"/>
      <c r="BX1316" s="8"/>
      <c r="BY1316" s="8"/>
      <c r="BZ1316" s="8"/>
      <c r="CA1316" s="8"/>
      <c r="CB1316" s="8"/>
      <c r="CC1316" s="8"/>
      <c r="CD1316" s="8"/>
      <c r="CE1316" s="8"/>
      <c r="CF1316" s="8"/>
      <c r="CG1316" s="8"/>
      <c r="CH1316" s="8"/>
      <c r="CI1316" s="8"/>
      <c r="CJ1316" s="8"/>
      <c r="CK1316" s="8"/>
      <c r="CL1316" s="8"/>
      <c r="CM1316" s="8"/>
      <c r="CN1316" s="8"/>
      <c r="CO1316" s="8"/>
      <c r="CP1316" s="8"/>
      <c r="CQ1316" s="8"/>
      <c r="CR1316" s="8"/>
      <c r="CS1316" s="8"/>
      <c r="CT1316" s="8"/>
      <c r="CU1316" s="8"/>
      <c r="CV1316" s="8"/>
      <c r="CW1316" s="8"/>
      <c r="CX1316" s="8"/>
      <c r="CY1316" s="8"/>
      <c r="CZ1316" s="8"/>
      <c r="DA1316" s="8"/>
      <c r="DB1316" s="8"/>
      <c r="DC1316" s="8"/>
      <c r="DD1316" s="8"/>
      <c r="DE1316" s="8"/>
      <c r="DF1316" s="8"/>
      <c r="DG1316" s="8"/>
      <c r="DH1316" s="8"/>
      <c r="DI1316" s="8"/>
      <c r="DJ1316" s="8"/>
      <c r="DK1316" s="8"/>
      <c r="DL1316" s="8"/>
      <c r="DM1316" s="8"/>
      <c r="DN1316" s="8"/>
      <c r="DO1316" s="8"/>
      <c r="DP1316" s="8"/>
      <c r="DQ1316" s="8"/>
      <c r="DR1316" s="8"/>
      <c r="DS1316" s="8"/>
      <c r="DT1316" s="8"/>
      <c r="DU1316" s="8"/>
      <c r="DV1316" s="8"/>
      <c r="DW1316" s="8"/>
      <c r="DX1316" s="8"/>
      <c r="DY1316" s="8"/>
      <c r="DZ1316" s="8"/>
      <c r="EA1316" s="8"/>
      <c r="EB1316" s="8"/>
      <c r="EC1316" s="8"/>
      <c r="ED1316" s="8"/>
      <c r="EE1316" s="8"/>
      <c r="EF1316" s="8"/>
      <c r="EG1316" s="8"/>
      <c r="EH1316" s="8"/>
      <c r="EI1316" s="8"/>
      <c r="EJ1316" s="8"/>
      <c r="EK1316" s="8"/>
      <c r="EL1316" s="8"/>
      <c r="EM1316" s="8"/>
      <c r="EN1316" s="8"/>
      <c r="EO1316" s="8"/>
      <c r="EP1316" s="8"/>
      <c r="EQ1316" s="8"/>
      <c r="ER1316" s="8"/>
      <c r="ES1316" s="8"/>
      <c r="ET1316" s="8"/>
      <c r="EU1316" s="8"/>
      <c r="EV1316" s="8"/>
      <c r="EW1316" s="8"/>
      <c r="EX1316" s="8"/>
      <c r="EY1316" s="8"/>
      <c r="EZ1316" s="8"/>
      <c r="FA1316" s="8"/>
      <c r="FB1316" s="8"/>
      <c r="FC1316" s="8"/>
      <c r="FD1316" s="8"/>
      <c r="FE1316" s="8"/>
      <c r="FF1316" s="8"/>
      <c r="FG1316" s="8"/>
      <c r="FH1316" s="8"/>
      <c r="FI1316" s="8"/>
      <c r="FJ1316" s="8"/>
      <c r="FK1316" s="8"/>
      <c r="FL1316" s="8"/>
      <c r="FM1316" s="8"/>
      <c r="FN1316" s="8"/>
      <c r="FO1316" s="8"/>
      <c r="FP1316" s="8"/>
      <c r="FQ1316" s="8"/>
      <c r="FR1316" s="8"/>
      <c r="FS1316" s="8"/>
      <c r="FT1316" s="8"/>
      <c r="FU1316" s="8"/>
      <c r="FV1316" s="8"/>
      <c r="FW1316" s="8"/>
      <c r="FX1316" s="8"/>
      <c r="FY1316" s="8"/>
      <c r="FZ1316" s="8"/>
      <c r="GA1316" s="8"/>
      <c r="GB1316" s="8"/>
      <c r="GC1316" s="8"/>
      <c r="GD1316" s="8"/>
      <c r="GE1316" s="8"/>
      <c r="GF1316" s="8"/>
      <c r="GG1316" s="8"/>
      <c r="GH1316" s="8"/>
      <c r="GI1316" s="8"/>
      <c r="GJ1316" s="8"/>
      <c r="GK1316" s="8"/>
      <c r="GL1316" s="8"/>
      <c r="GM1316" s="8"/>
      <c r="GN1316" s="8"/>
      <c r="GO1316" s="8"/>
      <c r="GP1316" s="8"/>
      <c r="GQ1316" s="8"/>
      <c r="GR1316" s="8"/>
      <c r="GS1316" s="8"/>
      <c r="GT1316" s="8"/>
      <c r="GU1316" s="8"/>
      <c r="GV1316" s="8"/>
      <c r="GW1316" s="8"/>
      <c r="GX1316" s="8"/>
      <c r="GY1316" s="8"/>
      <c r="GZ1316" s="8"/>
      <c r="HA1316" s="8"/>
      <c r="HB1316" s="8"/>
      <c r="HC1316" s="8"/>
      <c r="HD1316" s="8"/>
      <c r="HE1316" s="8"/>
      <c r="HF1316" s="8"/>
      <c r="HG1316" s="8"/>
      <c r="HH1316" s="8"/>
      <c r="HI1316" s="8"/>
      <c r="HJ1316" s="8"/>
      <c r="HK1316" s="8"/>
      <c r="HL1316" s="8"/>
      <c r="HM1316" s="8"/>
      <c r="HN1316" s="8"/>
      <c r="HO1316" s="8"/>
      <c r="HP1316" s="8"/>
      <c r="HQ1316" s="8"/>
      <c r="HR1316" s="8"/>
      <c r="HS1316" s="8"/>
      <c r="HT1316" s="8"/>
      <c r="HU1316" s="8"/>
      <c r="HV1316" s="8"/>
      <c r="HW1316" s="8"/>
      <c r="HX1316" s="8"/>
      <c r="HY1316" s="8"/>
      <c r="HZ1316" s="8"/>
      <c r="IA1316" s="8"/>
      <c r="IB1316" s="8"/>
      <c r="IC1316" s="8"/>
      <c r="ID1316" s="8"/>
      <c r="IE1316" s="8"/>
      <c r="IF1316" s="8"/>
    </row>
    <row r="1317" spans="1:240" ht="30" customHeight="1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17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8"/>
      <c r="AP1317" s="8"/>
      <c r="AQ1317" s="8"/>
      <c r="AR1317" s="8"/>
      <c r="AS1317" s="8"/>
      <c r="AT1317" s="8"/>
      <c r="AU1317" s="8"/>
      <c r="AV1317" s="8"/>
      <c r="AW1317" s="8"/>
      <c r="AX1317" s="8"/>
      <c r="AY1317" s="8"/>
      <c r="AZ1317" s="8"/>
      <c r="BA1317" s="8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8"/>
      <c r="BS1317" s="8"/>
      <c r="BT1317" s="8"/>
      <c r="BU1317" s="8"/>
      <c r="BV1317" s="8"/>
      <c r="BW1317" s="8"/>
      <c r="BX1317" s="8"/>
      <c r="BY1317" s="8"/>
      <c r="BZ1317" s="8"/>
      <c r="CA1317" s="8"/>
      <c r="CB1317" s="8"/>
      <c r="CC1317" s="8"/>
      <c r="CD1317" s="8"/>
      <c r="CE1317" s="8"/>
      <c r="CF1317" s="8"/>
      <c r="CG1317" s="8"/>
      <c r="CH1317" s="8"/>
      <c r="CI1317" s="8"/>
      <c r="CJ1317" s="8"/>
      <c r="CK1317" s="8"/>
      <c r="CL1317" s="8"/>
      <c r="CM1317" s="8"/>
      <c r="CN1317" s="8"/>
      <c r="CO1317" s="8"/>
      <c r="CP1317" s="8"/>
      <c r="CQ1317" s="8"/>
      <c r="CR1317" s="8"/>
      <c r="CS1317" s="8"/>
      <c r="CT1317" s="8"/>
      <c r="CU1317" s="8"/>
      <c r="CV1317" s="8"/>
      <c r="CW1317" s="8"/>
      <c r="CX1317" s="8"/>
      <c r="CY1317" s="8"/>
      <c r="CZ1317" s="8"/>
      <c r="DA1317" s="8"/>
      <c r="DB1317" s="8"/>
      <c r="DC1317" s="8"/>
      <c r="DD1317" s="8"/>
      <c r="DE1317" s="8"/>
      <c r="DF1317" s="8"/>
      <c r="DG1317" s="8"/>
      <c r="DH1317" s="8"/>
      <c r="DI1317" s="8"/>
      <c r="DJ1317" s="8"/>
      <c r="DK1317" s="8"/>
      <c r="DL1317" s="8"/>
      <c r="DM1317" s="8"/>
      <c r="DN1317" s="8"/>
      <c r="DO1317" s="8"/>
      <c r="DP1317" s="8"/>
      <c r="DQ1317" s="8"/>
      <c r="DR1317" s="8"/>
      <c r="DS1317" s="8"/>
      <c r="DT1317" s="8"/>
      <c r="DU1317" s="8"/>
      <c r="DV1317" s="8"/>
      <c r="DW1317" s="8"/>
      <c r="DX1317" s="8"/>
      <c r="DY1317" s="8"/>
      <c r="DZ1317" s="8"/>
      <c r="EA1317" s="8"/>
      <c r="EB1317" s="8"/>
      <c r="EC1317" s="8"/>
      <c r="ED1317" s="8"/>
      <c r="EE1317" s="8"/>
      <c r="EF1317" s="8"/>
      <c r="EG1317" s="8"/>
      <c r="EH1317" s="8"/>
      <c r="EI1317" s="8"/>
      <c r="EJ1317" s="8"/>
      <c r="EK1317" s="8"/>
      <c r="EL1317" s="8"/>
      <c r="EM1317" s="8"/>
      <c r="EN1317" s="8"/>
      <c r="EO1317" s="8"/>
      <c r="EP1317" s="8"/>
      <c r="EQ1317" s="8"/>
      <c r="ER1317" s="8"/>
      <c r="ES1317" s="8"/>
      <c r="ET1317" s="8"/>
      <c r="EU1317" s="8"/>
      <c r="EV1317" s="8"/>
      <c r="EW1317" s="8"/>
      <c r="EX1317" s="8"/>
      <c r="EY1317" s="8"/>
      <c r="EZ1317" s="8"/>
      <c r="FA1317" s="8"/>
      <c r="FB1317" s="8"/>
      <c r="FC1317" s="8"/>
      <c r="FD1317" s="8"/>
      <c r="FE1317" s="8"/>
      <c r="FF1317" s="8"/>
      <c r="FG1317" s="8"/>
      <c r="FH1317" s="8"/>
      <c r="FI1317" s="8"/>
      <c r="FJ1317" s="8"/>
      <c r="FK1317" s="8"/>
      <c r="FL1317" s="8"/>
      <c r="FM1317" s="8"/>
      <c r="FN1317" s="8"/>
      <c r="FO1317" s="8"/>
      <c r="FP1317" s="8"/>
      <c r="FQ1317" s="8"/>
      <c r="FR1317" s="8"/>
      <c r="FS1317" s="8"/>
      <c r="FT1317" s="8"/>
      <c r="FU1317" s="8"/>
      <c r="FV1317" s="8"/>
      <c r="FW1317" s="8"/>
      <c r="FX1317" s="8"/>
      <c r="FY1317" s="8"/>
      <c r="FZ1317" s="8"/>
      <c r="GA1317" s="8"/>
      <c r="GB1317" s="8"/>
      <c r="GC1317" s="8"/>
      <c r="GD1317" s="8"/>
      <c r="GE1317" s="8"/>
      <c r="GF1317" s="8"/>
      <c r="GG1317" s="8"/>
      <c r="GH1317" s="8"/>
      <c r="GI1317" s="8"/>
      <c r="GJ1317" s="8"/>
      <c r="GK1317" s="8"/>
      <c r="GL1317" s="8"/>
      <c r="GM1317" s="8"/>
      <c r="GN1317" s="8"/>
      <c r="GO1317" s="8"/>
      <c r="GP1317" s="8"/>
      <c r="GQ1317" s="8"/>
      <c r="GR1317" s="8"/>
      <c r="GS1317" s="8"/>
      <c r="GT1317" s="8"/>
      <c r="GU1317" s="8"/>
      <c r="GV1317" s="8"/>
      <c r="GW1317" s="8"/>
      <c r="GX1317" s="8"/>
      <c r="GY1317" s="8"/>
      <c r="GZ1317" s="8"/>
      <c r="HA1317" s="8"/>
      <c r="HB1317" s="8"/>
      <c r="HC1317" s="8"/>
      <c r="HD1317" s="8"/>
      <c r="HE1317" s="8"/>
      <c r="HF1317" s="8"/>
      <c r="HG1317" s="8"/>
      <c r="HH1317" s="8"/>
      <c r="HI1317" s="8"/>
      <c r="HJ1317" s="8"/>
      <c r="HK1317" s="8"/>
      <c r="HL1317" s="8"/>
      <c r="HM1317" s="8"/>
      <c r="HN1317" s="8"/>
      <c r="HO1317" s="8"/>
      <c r="HP1317" s="8"/>
      <c r="HQ1317" s="8"/>
      <c r="HR1317" s="8"/>
      <c r="HS1317" s="8"/>
      <c r="HT1317" s="8"/>
      <c r="HU1317" s="8"/>
      <c r="HV1317" s="8"/>
      <c r="HW1317" s="8"/>
      <c r="HX1317" s="8"/>
      <c r="HY1317" s="8"/>
      <c r="HZ1317" s="8"/>
      <c r="IA1317" s="8"/>
      <c r="IB1317" s="8"/>
      <c r="IC1317" s="8"/>
      <c r="ID1317" s="8"/>
      <c r="IE1317" s="8"/>
      <c r="IF1317" s="8"/>
    </row>
    <row r="1318" spans="1:240" ht="30" customHeight="1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17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8"/>
      <c r="AP1318" s="8"/>
      <c r="AQ1318" s="8"/>
      <c r="AR1318" s="8"/>
      <c r="AS1318" s="8"/>
      <c r="AT1318" s="8"/>
      <c r="AU1318" s="8"/>
      <c r="AV1318" s="8"/>
      <c r="AW1318" s="8"/>
      <c r="AX1318" s="8"/>
      <c r="AY1318" s="8"/>
      <c r="AZ1318" s="8"/>
      <c r="BA1318" s="8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8"/>
      <c r="BS1318" s="8"/>
      <c r="BT1318" s="8"/>
      <c r="BU1318" s="8"/>
      <c r="BV1318" s="8"/>
      <c r="BW1318" s="8"/>
      <c r="BX1318" s="8"/>
      <c r="BY1318" s="8"/>
      <c r="BZ1318" s="8"/>
      <c r="CA1318" s="8"/>
      <c r="CB1318" s="8"/>
      <c r="CC1318" s="8"/>
      <c r="CD1318" s="8"/>
      <c r="CE1318" s="8"/>
      <c r="CF1318" s="8"/>
      <c r="CG1318" s="8"/>
      <c r="CH1318" s="8"/>
      <c r="CI1318" s="8"/>
      <c r="CJ1318" s="8"/>
      <c r="CK1318" s="8"/>
      <c r="CL1318" s="8"/>
      <c r="CM1318" s="8"/>
      <c r="CN1318" s="8"/>
      <c r="CO1318" s="8"/>
      <c r="CP1318" s="8"/>
      <c r="CQ1318" s="8"/>
      <c r="CR1318" s="8"/>
      <c r="CS1318" s="8"/>
      <c r="CT1318" s="8"/>
      <c r="CU1318" s="8"/>
      <c r="CV1318" s="8"/>
      <c r="CW1318" s="8"/>
      <c r="CX1318" s="8"/>
      <c r="CY1318" s="8"/>
      <c r="CZ1318" s="8"/>
      <c r="DA1318" s="8"/>
      <c r="DB1318" s="8"/>
      <c r="DC1318" s="8"/>
      <c r="DD1318" s="8"/>
      <c r="DE1318" s="8"/>
      <c r="DF1318" s="8"/>
      <c r="DG1318" s="8"/>
      <c r="DH1318" s="8"/>
      <c r="DI1318" s="8"/>
      <c r="DJ1318" s="8"/>
      <c r="DK1318" s="8"/>
      <c r="DL1318" s="8"/>
      <c r="DM1318" s="8"/>
      <c r="DN1318" s="8"/>
      <c r="DO1318" s="8"/>
      <c r="DP1318" s="8"/>
      <c r="DQ1318" s="8"/>
      <c r="DR1318" s="8"/>
      <c r="DS1318" s="8"/>
      <c r="DT1318" s="8"/>
      <c r="DU1318" s="8"/>
      <c r="DV1318" s="8"/>
      <c r="DW1318" s="8"/>
      <c r="DX1318" s="8"/>
      <c r="DY1318" s="8"/>
      <c r="DZ1318" s="8"/>
      <c r="EA1318" s="8"/>
      <c r="EB1318" s="8"/>
      <c r="EC1318" s="8"/>
      <c r="ED1318" s="8"/>
      <c r="EE1318" s="8"/>
      <c r="EF1318" s="8"/>
      <c r="EG1318" s="8"/>
      <c r="EH1318" s="8"/>
      <c r="EI1318" s="8"/>
      <c r="EJ1318" s="8"/>
      <c r="EK1318" s="8"/>
      <c r="EL1318" s="8"/>
      <c r="EM1318" s="8"/>
      <c r="EN1318" s="8"/>
      <c r="EO1318" s="8"/>
      <c r="EP1318" s="8"/>
      <c r="EQ1318" s="8"/>
      <c r="ER1318" s="8"/>
      <c r="ES1318" s="8"/>
      <c r="ET1318" s="8"/>
      <c r="EU1318" s="8"/>
      <c r="EV1318" s="8"/>
      <c r="EW1318" s="8"/>
      <c r="EX1318" s="8"/>
      <c r="EY1318" s="8"/>
      <c r="EZ1318" s="8"/>
      <c r="FA1318" s="8"/>
      <c r="FB1318" s="8"/>
      <c r="FC1318" s="8"/>
      <c r="FD1318" s="8"/>
      <c r="FE1318" s="8"/>
      <c r="FF1318" s="8"/>
      <c r="FG1318" s="8"/>
      <c r="FH1318" s="8"/>
      <c r="FI1318" s="8"/>
      <c r="FJ1318" s="8"/>
      <c r="FK1318" s="8"/>
      <c r="FL1318" s="8"/>
      <c r="FM1318" s="8"/>
      <c r="FN1318" s="8"/>
      <c r="FO1318" s="8"/>
      <c r="FP1318" s="8"/>
      <c r="FQ1318" s="8"/>
      <c r="FR1318" s="8"/>
      <c r="FS1318" s="8"/>
      <c r="FT1318" s="8"/>
      <c r="FU1318" s="8"/>
      <c r="FV1318" s="8"/>
      <c r="FW1318" s="8"/>
      <c r="FX1318" s="8"/>
      <c r="FY1318" s="8"/>
      <c r="FZ1318" s="8"/>
      <c r="GA1318" s="8"/>
      <c r="GB1318" s="8"/>
      <c r="GC1318" s="8"/>
      <c r="GD1318" s="8"/>
      <c r="GE1318" s="8"/>
      <c r="GF1318" s="8"/>
      <c r="GG1318" s="8"/>
      <c r="GH1318" s="8"/>
      <c r="GI1318" s="8"/>
      <c r="GJ1318" s="8"/>
      <c r="GK1318" s="8"/>
      <c r="GL1318" s="8"/>
      <c r="GM1318" s="8"/>
      <c r="GN1318" s="8"/>
      <c r="GO1318" s="8"/>
      <c r="GP1318" s="8"/>
      <c r="GQ1318" s="8"/>
      <c r="GR1318" s="8"/>
      <c r="GS1318" s="8"/>
      <c r="GT1318" s="8"/>
      <c r="GU1318" s="8"/>
      <c r="GV1318" s="8"/>
      <c r="GW1318" s="8"/>
      <c r="GX1318" s="8"/>
      <c r="GY1318" s="8"/>
      <c r="GZ1318" s="8"/>
      <c r="HA1318" s="8"/>
      <c r="HB1318" s="8"/>
      <c r="HC1318" s="8"/>
      <c r="HD1318" s="8"/>
      <c r="HE1318" s="8"/>
      <c r="HF1318" s="8"/>
      <c r="HG1318" s="8"/>
      <c r="HH1318" s="8"/>
      <c r="HI1318" s="8"/>
      <c r="HJ1318" s="8"/>
      <c r="HK1318" s="8"/>
      <c r="HL1318" s="8"/>
      <c r="HM1318" s="8"/>
      <c r="HN1318" s="8"/>
      <c r="HO1318" s="8"/>
      <c r="HP1318" s="8"/>
      <c r="HQ1318" s="8"/>
      <c r="HR1318" s="8"/>
      <c r="HS1318" s="8"/>
      <c r="HT1318" s="8"/>
      <c r="HU1318" s="8"/>
      <c r="HV1318" s="8"/>
      <c r="HW1318" s="8"/>
      <c r="HX1318" s="8"/>
      <c r="HY1318" s="8"/>
      <c r="HZ1318" s="8"/>
      <c r="IA1318" s="8"/>
      <c r="IB1318" s="8"/>
      <c r="IC1318" s="8"/>
      <c r="ID1318" s="8"/>
      <c r="IE1318" s="8"/>
      <c r="IF1318" s="8"/>
    </row>
    <row r="1319" spans="1:240" ht="30" customHeight="1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17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8"/>
      <c r="AP1319" s="8"/>
      <c r="AQ1319" s="8"/>
      <c r="AR1319" s="8"/>
      <c r="AS1319" s="8"/>
      <c r="AT1319" s="8"/>
      <c r="AU1319" s="8"/>
      <c r="AV1319" s="8"/>
      <c r="AW1319" s="8"/>
      <c r="AX1319" s="8"/>
      <c r="AY1319" s="8"/>
      <c r="AZ1319" s="8"/>
      <c r="BA1319" s="8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8"/>
      <c r="BS1319" s="8"/>
      <c r="BT1319" s="8"/>
      <c r="BU1319" s="8"/>
      <c r="BV1319" s="8"/>
      <c r="BW1319" s="8"/>
      <c r="BX1319" s="8"/>
      <c r="BY1319" s="8"/>
      <c r="BZ1319" s="8"/>
      <c r="CA1319" s="8"/>
      <c r="CB1319" s="8"/>
      <c r="CC1319" s="8"/>
      <c r="CD1319" s="8"/>
      <c r="CE1319" s="8"/>
      <c r="CF1319" s="8"/>
      <c r="CG1319" s="8"/>
      <c r="CH1319" s="8"/>
      <c r="CI1319" s="8"/>
      <c r="CJ1319" s="8"/>
      <c r="CK1319" s="8"/>
      <c r="CL1319" s="8"/>
      <c r="CM1319" s="8"/>
      <c r="CN1319" s="8"/>
      <c r="CO1319" s="8"/>
      <c r="CP1319" s="8"/>
      <c r="CQ1319" s="8"/>
      <c r="CR1319" s="8"/>
      <c r="CS1319" s="8"/>
      <c r="CT1319" s="8"/>
      <c r="CU1319" s="8"/>
      <c r="CV1319" s="8"/>
      <c r="CW1319" s="8"/>
      <c r="CX1319" s="8"/>
      <c r="CY1319" s="8"/>
      <c r="CZ1319" s="8"/>
      <c r="DA1319" s="8"/>
      <c r="DB1319" s="8"/>
      <c r="DC1319" s="8"/>
      <c r="DD1319" s="8"/>
      <c r="DE1319" s="8"/>
      <c r="DF1319" s="8"/>
      <c r="DG1319" s="8"/>
      <c r="DH1319" s="8"/>
      <c r="DI1319" s="8"/>
      <c r="DJ1319" s="8"/>
      <c r="DK1319" s="8"/>
      <c r="DL1319" s="8"/>
      <c r="DM1319" s="8"/>
      <c r="DN1319" s="8"/>
      <c r="DO1319" s="8"/>
      <c r="DP1319" s="8"/>
      <c r="DQ1319" s="8"/>
      <c r="DR1319" s="8"/>
      <c r="DS1319" s="8"/>
      <c r="DT1319" s="8"/>
      <c r="DU1319" s="8"/>
      <c r="DV1319" s="8"/>
      <c r="DW1319" s="8"/>
      <c r="DX1319" s="8"/>
      <c r="DY1319" s="8"/>
      <c r="DZ1319" s="8"/>
      <c r="EA1319" s="8"/>
      <c r="EB1319" s="8"/>
      <c r="EC1319" s="8"/>
      <c r="ED1319" s="8"/>
      <c r="EE1319" s="8"/>
      <c r="EF1319" s="8"/>
      <c r="EG1319" s="8"/>
      <c r="EH1319" s="8"/>
      <c r="EI1319" s="8"/>
      <c r="EJ1319" s="8"/>
      <c r="EK1319" s="8"/>
      <c r="EL1319" s="8"/>
      <c r="EM1319" s="8"/>
      <c r="EN1319" s="8"/>
      <c r="EO1319" s="8"/>
      <c r="EP1319" s="8"/>
      <c r="EQ1319" s="8"/>
      <c r="ER1319" s="8"/>
      <c r="ES1319" s="8"/>
      <c r="ET1319" s="8"/>
      <c r="EU1319" s="8"/>
      <c r="EV1319" s="8"/>
      <c r="EW1319" s="8"/>
      <c r="EX1319" s="8"/>
      <c r="EY1319" s="8"/>
      <c r="EZ1319" s="8"/>
      <c r="FA1319" s="8"/>
      <c r="FB1319" s="8"/>
      <c r="FC1319" s="8"/>
      <c r="FD1319" s="8"/>
      <c r="FE1319" s="8"/>
      <c r="FF1319" s="8"/>
      <c r="FG1319" s="8"/>
      <c r="FH1319" s="8"/>
      <c r="FI1319" s="8"/>
      <c r="FJ1319" s="8"/>
      <c r="FK1319" s="8"/>
      <c r="FL1319" s="8"/>
      <c r="FM1319" s="8"/>
      <c r="FN1319" s="8"/>
      <c r="FO1319" s="8"/>
      <c r="FP1319" s="8"/>
      <c r="FQ1319" s="8"/>
      <c r="FR1319" s="8"/>
      <c r="FS1319" s="8"/>
      <c r="FT1319" s="8"/>
      <c r="FU1319" s="8"/>
      <c r="FV1319" s="8"/>
      <c r="FW1319" s="8"/>
      <c r="FX1319" s="8"/>
      <c r="FY1319" s="8"/>
      <c r="FZ1319" s="8"/>
      <c r="GA1319" s="8"/>
      <c r="GB1319" s="8"/>
      <c r="GC1319" s="8"/>
      <c r="GD1319" s="8"/>
      <c r="GE1319" s="8"/>
      <c r="GF1319" s="8"/>
      <c r="GG1319" s="8"/>
      <c r="GH1319" s="8"/>
      <c r="GI1319" s="8"/>
      <c r="GJ1319" s="8"/>
      <c r="GK1319" s="8"/>
      <c r="GL1319" s="8"/>
      <c r="GM1319" s="8"/>
      <c r="GN1319" s="8"/>
      <c r="GO1319" s="8"/>
      <c r="GP1319" s="8"/>
      <c r="GQ1319" s="8"/>
      <c r="GR1319" s="8"/>
      <c r="GS1319" s="8"/>
      <c r="GT1319" s="8"/>
      <c r="GU1319" s="8"/>
      <c r="GV1319" s="8"/>
      <c r="GW1319" s="8"/>
      <c r="GX1319" s="8"/>
      <c r="GY1319" s="8"/>
      <c r="GZ1319" s="8"/>
      <c r="HA1319" s="8"/>
      <c r="HB1319" s="8"/>
      <c r="HC1319" s="8"/>
      <c r="HD1319" s="8"/>
      <c r="HE1319" s="8"/>
      <c r="HF1319" s="8"/>
      <c r="HG1319" s="8"/>
      <c r="HH1319" s="8"/>
      <c r="HI1319" s="8"/>
      <c r="HJ1319" s="8"/>
      <c r="HK1319" s="8"/>
      <c r="HL1319" s="8"/>
      <c r="HM1319" s="8"/>
      <c r="HN1319" s="8"/>
      <c r="HO1319" s="8"/>
      <c r="HP1319" s="8"/>
      <c r="HQ1319" s="8"/>
      <c r="HR1319" s="8"/>
      <c r="HS1319" s="8"/>
      <c r="HT1319" s="8"/>
      <c r="HU1319" s="8"/>
      <c r="HV1319" s="8"/>
      <c r="HW1319" s="8"/>
      <c r="HX1319" s="8"/>
      <c r="HY1319" s="8"/>
      <c r="HZ1319" s="8"/>
      <c r="IA1319" s="8"/>
      <c r="IB1319" s="8"/>
      <c r="IC1319" s="8"/>
      <c r="ID1319" s="8"/>
      <c r="IE1319" s="8"/>
      <c r="IF1319" s="8"/>
    </row>
    <row r="1320" spans="1:240" ht="30" customHeight="1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17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8"/>
      <c r="AP1320" s="8"/>
      <c r="AQ1320" s="8"/>
      <c r="AR1320" s="8"/>
      <c r="AS1320" s="8"/>
      <c r="AT1320" s="8"/>
      <c r="AU1320" s="8"/>
      <c r="AV1320" s="8"/>
      <c r="AW1320" s="8"/>
      <c r="AX1320" s="8"/>
      <c r="AY1320" s="8"/>
      <c r="AZ1320" s="8"/>
      <c r="BA1320" s="8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8"/>
      <c r="BS1320" s="8"/>
      <c r="BT1320" s="8"/>
      <c r="BU1320" s="8"/>
      <c r="BV1320" s="8"/>
      <c r="BW1320" s="8"/>
      <c r="BX1320" s="8"/>
      <c r="BY1320" s="8"/>
      <c r="BZ1320" s="8"/>
      <c r="CA1320" s="8"/>
      <c r="CB1320" s="8"/>
      <c r="CC1320" s="8"/>
      <c r="CD1320" s="8"/>
      <c r="CE1320" s="8"/>
      <c r="CF1320" s="8"/>
      <c r="CG1320" s="8"/>
      <c r="CH1320" s="8"/>
      <c r="CI1320" s="8"/>
      <c r="CJ1320" s="8"/>
      <c r="CK1320" s="8"/>
      <c r="CL1320" s="8"/>
      <c r="CM1320" s="8"/>
      <c r="CN1320" s="8"/>
      <c r="CO1320" s="8"/>
      <c r="CP1320" s="8"/>
      <c r="CQ1320" s="8"/>
      <c r="CR1320" s="8"/>
      <c r="CS1320" s="8"/>
      <c r="CT1320" s="8"/>
      <c r="CU1320" s="8"/>
      <c r="CV1320" s="8"/>
      <c r="CW1320" s="8"/>
      <c r="CX1320" s="8"/>
      <c r="CY1320" s="8"/>
      <c r="CZ1320" s="8"/>
      <c r="DA1320" s="8"/>
      <c r="DB1320" s="8"/>
      <c r="DC1320" s="8"/>
      <c r="DD1320" s="8"/>
      <c r="DE1320" s="8"/>
      <c r="DF1320" s="8"/>
      <c r="DG1320" s="8"/>
      <c r="DH1320" s="8"/>
      <c r="DI1320" s="8"/>
      <c r="DJ1320" s="8"/>
      <c r="DK1320" s="8"/>
      <c r="DL1320" s="8"/>
      <c r="DM1320" s="8"/>
      <c r="DN1320" s="8"/>
      <c r="DO1320" s="8"/>
      <c r="DP1320" s="8"/>
      <c r="DQ1320" s="8"/>
      <c r="DR1320" s="8"/>
      <c r="DS1320" s="8"/>
      <c r="DT1320" s="8"/>
      <c r="DU1320" s="8"/>
      <c r="DV1320" s="8"/>
      <c r="DW1320" s="8"/>
      <c r="DX1320" s="8"/>
      <c r="DY1320" s="8"/>
      <c r="DZ1320" s="8"/>
      <c r="EA1320" s="8"/>
      <c r="EB1320" s="8"/>
      <c r="EC1320" s="8"/>
      <c r="ED1320" s="8"/>
      <c r="EE1320" s="8"/>
      <c r="EF1320" s="8"/>
      <c r="EG1320" s="8"/>
      <c r="EH1320" s="8"/>
      <c r="EI1320" s="8"/>
      <c r="EJ1320" s="8"/>
      <c r="EK1320" s="8"/>
      <c r="EL1320" s="8"/>
      <c r="EM1320" s="8"/>
      <c r="EN1320" s="8"/>
      <c r="EO1320" s="8"/>
      <c r="EP1320" s="8"/>
      <c r="EQ1320" s="8"/>
      <c r="ER1320" s="8"/>
      <c r="ES1320" s="8"/>
      <c r="ET1320" s="8"/>
      <c r="EU1320" s="8"/>
      <c r="EV1320" s="8"/>
      <c r="EW1320" s="8"/>
      <c r="EX1320" s="8"/>
      <c r="EY1320" s="8"/>
      <c r="EZ1320" s="8"/>
      <c r="FA1320" s="8"/>
      <c r="FB1320" s="8"/>
      <c r="FC1320" s="8"/>
      <c r="FD1320" s="8"/>
      <c r="FE1320" s="8"/>
      <c r="FF1320" s="8"/>
      <c r="FG1320" s="8"/>
      <c r="FH1320" s="8"/>
      <c r="FI1320" s="8"/>
      <c r="FJ1320" s="8"/>
      <c r="FK1320" s="8"/>
      <c r="FL1320" s="8"/>
      <c r="FM1320" s="8"/>
      <c r="FN1320" s="8"/>
      <c r="FO1320" s="8"/>
      <c r="FP1320" s="8"/>
      <c r="FQ1320" s="8"/>
      <c r="FR1320" s="8"/>
      <c r="FS1320" s="8"/>
      <c r="FT1320" s="8"/>
      <c r="FU1320" s="8"/>
      <c r="FV1320" s="8"/>
      <c r="FW1320" s="8"/>
      <c r="FX1320" s="8"/>
      <c r="FY1320" s="8"/>
      <c r="FZ1320" s="8"/>
      <c r="GA1320" s="8"/>
      <c r="GB1320" s="8"/>
      <c r="GC1320" s="8"/>
      <c r="GD1320" s="8"/>
      <c r="GE1320" s="8"/>
      <c r="GF1320" s="8"/>
      <c r="GG1320" s="8"/>
      <c r="GH1320" s="8"/>
      <c r="GI1320" s="8"/>
      <c r="GJ1320" s="8"/>
      <c r="GK1320" s="8"/>
      <c r="GL1320" s="8"/>
      <c r="GM1320" s="8"/>
      <c r="GN1320" s="8"/>
      <c r="GO1320" s="8"/>
      <c r="GP1320" s="8"/>
      <c r="GQ1320" s="8"/>
      <c r="GR1320" s="8"/>
      <c r="GS1320" s="8"/>
      <c r="GT1320" s="8"/>
      <c r="GU1320" s="8"/>
      <c r="GV1320" s="8"/>
      <c r="GW1320" s="8"/>
      <c r="GX1320" s="8"/>
      <c r="GY1320" s="8"/>
      <c r="GZ1320" s="8"/>
      <c r="HA1320" s="8"/>
      <c r="HB1320" s="8"/>
      <c r="HC1320" s="8"/>
      <c r="HD1320" s="8"/>
      <c r="HE1320" s="8"/>
      <c r="HF1320" s="8"/>
      <c r="HG1320" s="8"/>
      <c r="HH1320" s="8"/>
      <c r="HI1320" s="8"/>
      <c r="HJ1320" s="8"/>
      <c r="HK1320" s="8"/>
      <c r="HL1320" s="8"/>
      <c r="HM1320" s="8"/>
      <c r="HN1320" s="8"/>
      <c r="HO1320" s="8"/>
      <c r="HP1320" s="8"/>
      <c r="HQ1320" s="8"/>
      <c r="HR1320" s="8"/>
      <c r="HS1320" s="8"/>
      <c r="HT1320" s="8"/>
      <c r="HU1320" s="8"/>
      <c r="HV1320" s="8"/>
      <c r="HW1320" s="8"/>
      <c r="HX1320" s="8"/>
      <c r="HY1320" s="8"/>
      <c r="HZ1320" s="8"/>
      <c r="IA1320" s="8"/>
      <c r="IB1320" s="8"/>
      <c r="IC1320" s="8"/>
      <c r="ID1320" s="8"/>
      <c r="IE1320" s="8"/>
      <c r="IF1320" s="8"/>
    </row>
    <row r="1321" spans="1:240" ht="30" customHeight="1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17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8"/>
      <c r="BS1321" s="8"/>
      <c r="BT1321" s="8"/>
      <c r="BU1321" s="8"/>
      <c r="BV1321" s="8"/>
      <c r="BW1321" s="8"/>
      <c r="BX1321" s="8"/>
      <c r="BY1321" s="8"/>
      <c r="BZ1321" s="8"/>
      <c r="CA1321" s="8"/>
      <c r="CB1321" s="8"/>
      <c r="CC1321" s="8"/>
      <c r="CD1321" s="8"/>
      <c r="CE1321" s="8"/>
      <c r="CF1321" s="8"/>
      <c r="CG1321" s="8"/>
      <c r="CH1321" s="8"/>
      <c r="CI1321" s="8"/>
      <c r="CJ1321" s="8"/>
      <c r="CK1321" s="8"/>
      <c r="CL1321" s="8"/>
      <c r="CM1321" s="8"/>
      <c r="CN1321" s="8"/>
      <c r="CO1321" s="8"/>
      <c r="CP1321" s="8"/>
      <c r="CQ1321" s="8"/>
      <c r="CR1321" s="8"/>
      <c r="CS1321" s="8"/>
      <c r="CT1321" s="8"/>
      <c r="CU1321" s="8"/>
      <c r="CV1321" s="8"/>
      <c r="CW1321" s="8"/>
      <c r="CX1321" s="8"/>
      <c r="CY1321" s="8"/>
      <c r="CZ1321" s="8"/>
      <c r="DA1321" s="8"/>
      <c r="DB1321" s="8"/>
      <c r="DC1321" s="8"/>
      <c r="DD1321" s="8"/>
      <c r="DE1321" s="8"/>
      <c r="DF1321" s="8"/>
      <c r="DG1321" s="8"/>
      <c r="DH1321" s="8"/>
      <c r="DI1321" s="8"/>
      <c r="DJ1321" s="8"/>
      <c r="DK1321" s="8"/>
      <c r="DL1321" s="8"/>
      <c r="DM1321" s="8"/>
      <c r="DN1321" s="8"/>
      <c r="DO1321" s="8"/>
      <c r="DP1321" s="8"/>
      <c r="DQ1321" s="8"/>
      <c r="DR1321" s="8"/>
      <c r="DS1321" s="8"/>
      <c r="DT1321" s="8"/>
      <c r="DU1321" s="8"/>
      <c r="DV1321" s="8"/>
      <c r="DW1321" s="8"/>
      <c r="DX1321" s="8"/>
      <c r="DY1321" s="8"/>
      <c r="DZ1321" s="8"/>
      <c r="EA1321" s="8"/>
      <c r="EB1321" s="8"/>
      <c r="EC1321" s="8"/>
      <c r="ED1321" s="8"/>
      <c r="EE1321" s="8"/>
      <c r="EF1321" s="8"/>
      <c r="EG1321" s="8"/>
      <c r="EH1321" s="8"/>
      <c r="EI1321" s="8"/>
      <c r="EJ1321" s="8"/>
      <c r="EK1321" s="8"/>
      <c r="EL1321" s="8"/>
      <c r="EM1321" s="8"/>
      <c r="EN1321" s="8"/>
      <c r="EO1321" s="8"/>
      <c r="EP1321" s="8"/>
      <c r="EQ1321" s="8"/>
      <c r="ER1321" s="8"/>
      <c r="ES1321" s="8"/>
      <c r="ET1321" s="8"/>
      <c r="EU1321" s="8"/>
      <c r="EV1321" s="8"/>
      <c r="EW1321" s="8"/>
      <c r="EX1321" s="8"/>
      <c r="EY1321" s="8"/>
      <c r="EZ1321" s="8"/>
      <c r="FA1321" s="8"/>
      <c r="FB1321" s="8"/>
      <c r="FC1321" s="8"/>
      <c r="FD1321" s="8"/>
      <c r="FE1321" s="8"/>
      <c r="FF1321" s="8"/>
      <c r="FG1321" s="8"/>
      <c r="FH1321" s="8"/>
      <c r="FI1321" s="8"/>
      <c r="FJ1321" s="8"/>
      <c r="FK1321" s="8"/>
      <c r="FL1321" s="8"/>
      <c r="FM1321" s="8"/>
      <c r="FN1321" s="8"/>
      <c r="FO1321" s="8"/>
      <c r="FP1321" s="8"/>
      <c r="FQ1321" s="8"/>
      <c r="FR1321" s="8"/>
      <c r="FS1321" s="8"/>
      <c r="FT1321" s="8"/>
      <c r="FU1321" s="8"/>
      <c r="FV1321" s="8"/>
      <c r="FW1321" s="8"/>
      <c r="FX1321" s="8"/>
      <c r="FY1321" s="8"/>
      <c r="FZ1321" s="8"/>
      <c r="GA1321" s="8"/>
      <c r="GB1321" s="8"/>
      <c r="GC1321" s="8"/>
      <c r="GD1321" s="8"/>
      <c r="GE1321" s="8"/>
      <c r="GF1321" s="8"/>
      <c r="GG1321" s="8"/>
      <c r="GH1321" s="8"/>
      <c r="GI1321" s="8"/>
      <c r="GJ1321" s="8"/>
      <c r="GK1321" s="8"/>
      <c r="GL1321" s="8"/>
      <c r="GM1321" s="8"/>
      <c r="GN1321" s="8"/>
      <c r="GO1321" s="8"/>
      <c r="GP1321" s="8"/>
      <c r="GQ1321" s="8"/>
      <c r="GR1321" s="8"/>
      <c r="GS1321" s="8"/>
      <c r="GT1321" s="8"/>
      <c r="GU1321" s="8"/>
      <c r="GV1321" s="8"/>
      <c r="GW1321" s="8"/>
      <c r="GX1321" s="8"/>
      <c r="GY1321" s="8"/>
      <c r="GZ1321" s="8"/>
      <c r="HA1321" s="8"/>
      <c r="HB1321" s="8"/>
      <c r="HC1321" s="8"/>
      <c r="HD1321" s="8"/>
      <c r="HE1321" s="8"/>
      <c r="HF1321" s="8"/>
      <c r="HG1321" s="8"/>
      <c r="HH1321" s="8"/>
      <c r="HI1321" s="8"/>
      <c r="HJ1321" s="8"/>
      <c r="HK1321" s="8"/>
      <c r="HL1321" s="8"/>
      <c r="HM1321" s="8"/>
      <c r="HN1321" s="8"/>
      <c r="HO1321" s="8"/>
      <c r="HP1321" s="8"/>
      <c r="HQ1321" s="8"/>
      <c r="HR1321" s="8"/>
      <c r="HS1321" s="8"/>
      <c r="HT1321" s="8"/>
      <c r="HU1321" s="8"/>
      <c r="HV1321" s="8"/>
      <c r="HW1321" s="8"/>
      <c r="HX1321" s="8"/>
      <c r="HY1321" s="8"/>
      <c r="HZ1321" s="8"/>
      <c r="IA1321" s="8"/>
      <c r="IB1321" s="8"/>
      <c r="IC1321" s="8"/>
      <c r="ID1321" s="8"/>
      <c r="IE1321" s="8"/>
      <c r="IF1321" s="8"/>
    </row>
    <row r="1322" spans="1:240" ht="30" customHeight="1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17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8"/>
      <c r="AP1322" s="8"/>
      <c r="AQ1322" s="8"/>
      <c r="AR1322" s="8"/>
      <c r="AS1322" s="8"/>
      <c r="AT1322" s="8"/>
      <c r="AU1322" s="8"/>
      <c r="AV1322" s="8"/>
      <c r="AW1322" s="8"/>
      <c r="AX1322" s="8"/>
      <c r="AY1322" s="8"/>
      <c r="AZ1322" s="8"/>
      <c r="BA1322" s="8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8"/>
      <c r="BS1322" s="8"/>
      <c r="BT1322" s="8"/>
      <c r="BU1322" s="8"/>
      <c r="BV1322" s="8"/>
      <c r="BW1322" s="8"/>
      <c r="BX1322" s="8"/>
      <c r="BY1322" s="8"/>
      <c r="BZ1322" s="8"/>
      <c r="CA1322" s="8"/>
      <c r="CB1322" s="8"/>
      <c r="CC1322" s="8"/>
      <c r="CD1322" s="8"/>
      <c r="CE1322" s="8"/>
      <c r="CF1322" s="8"/>
      <c r="CG1322" s="8"/>
      <c r="CH1322" s="8"/>
      <c r="CI1322" s="8"/>
      <c r="CJ1322" s="8"/>
      <c r="CK1322" s="8"/>
      <c r="CL1322" s="8"/>
      <c r="CM1322" s="8"/>
      <c r="CN1322" s="8"/>
      <c r="CO1322" s="8"/>
      <c r="CP1322" s="8"/>
      <c r="CQ1322" s="8"/>
      <c r="CR1322" s="8"/>
      <c r="CS1322" s="8"/>
      <c r="CT1322" s="8"/>
      <c r="CU1322" s="8"/>
      <c r="CV1322" s="8"/>
      <c r="CW1322" s="8"/>
      <c r="CX1322" s="8"/>
      <c r="CY1322" s="8"/>
      <c r="CZ1322" s="8"/>
      <c r="DA1322" s="8"/>
      <c r="DB1322" s="8"/>
      <c r="DC1322" s="8"/>
      <c r="DD1322" s="8"/>
      <c r="DE1322" s="8"/>
      <c r="DF1322" s="8"/>
      <c r="DG1322" s="8"/>
      <c r="DH1322" s="8"/>
      <c r="DI1322" s="8"/>
      <c r="DJ1322" s="8"/>
      <c r="DK1322" s="8"/>
      <c r="DL1322" s="8"/>
      <c r="DM1322" s="8"/>
      <c r="DN1322" s="8"/>
      <c r="DO1322" s="8"/>
      <c r="DP1322" s="8"/>
      <c r="DQ1322" s="8"/>
      <c r="DR1322" s="8"/>
      <c r="DS1322" s="8"/>
      <c r="DT1322" s="8"/>
      <c r="DU1322" s="8"/>
      <c r="DV1322" s="8"/>
      <c r="DW1322" s="8"/>
      <c r="DX1322" s="8"/>
      <c r="DY1322" s="8"/>
      <c r="DZ1322" s="8"/>
      <c r="EA1322" s="8"/>
      <c r="EB1322" s="8"/>
      <c r="EC1322" s="8"/>
      <c r="ED1322" s="8"/>
      <c r="EE1322" s="8"/>
      <c r="EF1322" s="8"/>
      <c r="EG1322" s="8"/>
      <c r="EH1322" s="8"/>
      <c r="EI1322" s="8"/>
      <c r="EJ1322" s="8"/>
      <c r="EK1322" s="8"/>
      <c r="EL1322" s="8"/>
      <c r="EM1322" s="8"/>
      <c r="EN1322" s="8"/>
      <c r="EO1322" s="8"/>
      <c r="EP1322" s="8"/>
      <c r="EQ1322" s="8"/>
      <c r="ER1322" s="8"/>
      <c r="ES1322" s="8"/>
      <c r="ET1322" s="8"/>
      <c r="EU1322" s="8"/>
      <c r="EV1322" s="8"/>
      <c r="EW1322" s="8"/>
      <c r="EX1322" s="8"/>
      <c r="EY1322" s="8"/>
      <c r="EZ1322" s="8"/>
      <c r="FA1322" s="8"/>
      <c r="FB1322" s="8"/>
      <c r="FC1322" s="8"/>
      <c r="FD1322" s="8"/>
      <c r="FE1322" s="8"/>
      <c r="FF1322" s="8"/>
      <c r="FG1322" s="8"/>
      <c r="FH1322" s="8"/>
      <c r="FI1322" s="8"/>
      <c r="FJ1322" s="8"/>
      <c r="FK1322" s="8"/>
      <c r="FL1322" s="8"/>
      <c r="FM1322" s="8"/>
      <c r="FN1322" s="8"/>
      <c r="FO1322" s="8"/>
      <c r="FP1322" s="8"/>
      <c r="FQ1322" s="8"/>
      <c r="FR1322" s="8"/>
      <c r="FS1322" s="8"/>
      <c r="FT1322" s="8"/>
      <c r="FU1322" s="8"/>
      <c r="FV1322" s="8"/>
      <c r="FW1322" s="8"/>
      <c r="FX1322" s="8"/>
      <c r="FY1322" s="8"/>
      <c r="FZ1322" s="8"/>
      <c r="GA1322" s="8"/>
      <c r="GB1322" s="8"/>
      <c r="GC1322" s="8"/>
      <c r="GD1322" s="8"/>
      <c r="GE1322" s="8"/>
      <c r="GF1322" s="8"/>
      <c r="GG1322" s="8"/>
      <c r="GH1322" s="8"/>
      <c r="GI1322" s="8"/>
      <c r="GJ1322" s="8"/>
      <c r="GK1322" s="8"/>
      <c r="GL1322" s="8"/>
      <c r="GM1322" s="8"/>
      <c r="GN1322" s="8"/>
      <c r="GO1322" s="8"/>
      <c r="GP1322" s="8"/>
      <c r="GQ1322" s="8"/>
      <c r="GR1322" s="8"/>
      <c r="GS1322" s="8"/>
      <c r="GT1322" s="8"/>
      <c r="GU1322" s="8"/>
      <c r="GV1322" s="8"/>
      <c r="GW1322" s="8"/>
      <c r="GX1322" s="8"/>
      <c r="GY1322" s="8"/>
      <c r="GZ1322" s="8"/>
      <c r="HA1322" s="8"/>
      <c r="HB1322" s="8"/>
      <c r="HC1322" s="8"/>
      <c r="HD1322" s="8"/>
      <c r="HE1322" s="8"/>
      <c r="HF1322" s="8"/>
      <c r="HG1322" s="8"/>
      <c r="HH1322" s="8"/>
      <c r="HI1322" s="8"/>
      <c r="HJ1322" s="8"/>
      <c r="HK1322" s="8"/>
      <c r="HL1322" s="8"/>
      <c r="HM1322" s="8"/>
      <c r="HN1322" s="8"/>
      <c r="HO1322" s="8"/>
      <c r="HP1322" s="8"/>
      <c r="HQ1322" s="8"/>
      <c r="HR1322" s="8"/>
      <c r="HS1322" s="8"/>
      <c r="HT1322" s="8"/>
      <c r="HU1322" s="8"/>
      <c r="HV1322" s="8"/>
      <c r="HW1322" s="8"/>
      <c r="HX1322" s="8"/>
      <c r="HY1322" s="8"/>
      <c r="HZ1322" s="8"/>
      <c r="IA1322" s="8"/>
      <c r="IB1322" s="8"/>
      <c r="IC1322" s="8"/>
      <c r="ID1322" s="8"/>
      <c r="IE1322" s="8"/>
      <c r="IF1322" s="8"/>
    </row>
    <row r="1323" spans="1:240" ht="30" customHeight="1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17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8"/>
      <c r="BS1323" s="8"/>
      <c r="BT1323" s="8"/>
      <c r="BU1323" s="8"/>
      <c r="BV1323" s="8"/>
      <c r="BW1323" s="8"/>
      <c r="BX1323" s="8"/>
      <c r="BY1323" s="8"/>
      <c r="BZ1323" s="8"/>
      <c r="CA1323" s="8"/>
      <c r="CB1323" s="8"/>
      <c r="CC1323" s="8"/>
      <c r="CD1323" s="8"/>
      <c r="CE1323" s="8"/>
      <c r="CF1323" s="8"/>
      <c r="CG1323" s="8"/>
      <c r="CH1323" s="8"/>
      <c r="CI1323" s="8"/>
      <c r="CJ1323" s="8"/>
      <c r="CK1323" s="8"/>
      <c r="CL1323" s="8"/>
      <c r="CM1323" s="8"/>
      <c r="CN1323" s="8"/>
      <c r="CO1323" s="8"/>
      <c r="CP1323" s="8"/>
      <c r="CQ1323" s="8"/>
      <c r="CR1323" s="8"/>
      <c r="CS1323" s="8"/>
      <c r="CT1323" s="8"/>
      <c r="CU1323" s="8"/>
      <c r="CV1323" s="8"/>
      <c r="CW1323" s="8"/>
      <c r="CX1323" s="8"/>
      <c r="CY1323" s="8"/>
      <c r="CZ1323" s="8"/>
      <c r="DA1323" s="8"/>
      <c r="DB1323" s="8"/>
      <c r="DC1323" s="8"/>
      <c r="DD1323" s="8"/>
      <c r="DE1323" s="8"/>
      <c r="DF1323" s="8"/>
      <c r="DG1323" s="8"/>
      <c r="DH1323" s="8"/>
      <c r="DI1323" s="8"/>
      <c r="DJ1323" s="8"/>
      <c r="DK1323" s="8"/>
      <c r="DL1323" s="8"/>
      <c r="DM1323" s="8"/>
      <c r="DN1323" s="8"/>
      <c r="DO1323" s="8"/>
      <c r="DP1323" s="8"/>
      <c r="DQ1323" s="8"/>
      <c r="DR1323" s="8"/>
      <c r="DS1323" s="8"/>
      <c r="DT1323" s="8"/>
      <c r="DU1323" s="8"/>
      <c r="DV1323" s="8"/>
      <c r="DW1323" s="8"/>
      <c r="DX1323" s="8"/>
      <c r="DY1323" s="8"/>
      <c r="DZ1323" s="8"/>
      <c r="EA1323" s="8"/>
      <c r="EB1323" s="8"/>
      <c r="EC1323" s="8"/>
      <c r="ED1323" s="8"/>
      <c r="EE1323" s="8"/>
      <c r="EF1323" s="8"/>
      <c r="EG1323" s="8"/>
      <c r="EH1323" s="8"/>
      <c r="EI1323" s="8"/>
      <c r="EJ1323" s="8"/>
      <c r="EK1323" s="8"/>
      <c r="EL1323" s="8"/>
      <c r="EM1323" s="8"/>
      <c r="EN1323" s="8"/>
      <c r="EO1323" s="8"/>
      <c r="EP1323" s="8"/>
      <c r="EQ1323" s="8"/>
      <c r="ER1323" s="8"/>
      <c r="ES1323" s="8"/>
      <c r="ET1323" s="8"/>
      <c r="EU1323" s="8"/>
      <c r="EV1323" s="8"/>
      <c r="EW1323" s="8"/>
      <c r="EX1323" s="8"/>
      <c r="EY1323" s="8"/>
      <c r="EZ1323" s="8"/>
      <c r="FA1323" s="8"/>
      <c r="FB1323" s="8"/>
      <c r="FC1323" s="8"/>
      <c r="FD1323" s="8"/>
      <c r="FE1323" s="8"/>
      <c r="FF1323" s="8"/>
      <c r="FG1323" s="8"/>
      <c r="FH1323" s="8"/>
      <c r="FI1323" s="8"/>
      <c r="FJ1323" s="8"/>
      <c r="FK1323" s="8"/>
      <c r="FL1323" s="8"/>
      <c r="FM1323" s="8"/>
      <c r="FN1323" s="8"/>
      <c r="FO1323" s="8"/>
      <c r="FP1323" s="8"/>
      <c r="FQ1323" s="8"/>
      <c r="FR1323" s="8"/>
      <c r="FS1323" s="8"/>
      <c r="FT1323" s="8"/>
      <c r="FU1323" s="8"/>
      <c r="FV1323" s="8"/>
      <c r="FW1323" s="8"/>
      <c r="FX1323" s="8"/>
      <c r="FY1323" s="8"/>
      <c r="FZ1323" s="8"/>
      <c r="GA1323" s="8"/>
      <c r="GB1323" s="8"/>
      <c r="GC1323" s="8"/>
      <c r="GD1323" s="8"/>
      <c r="GE1323" s="8"/>
      <c r="GF1323" s="8"/>
      <c r="GG1323" s="8"/>
      <c r="GH1323" s="8"/>
      <c r="GI1323" s="8"/>
      <c r="GJ1323" s="8"/>
      <c r="GK1323" s="8"/>
      <c r="GL1323" s="8"/>
      <c r="GM1323" s="8"/>
      <c r="GN1323" s="8"/>
      <c r="GO1323" s="8"/>
      <c r="GP1323" s="8"/>
      <c r="GQ1323" s="8"/>
      <c r="GR1323" s="8"/>
      <c r="GS1323" s="8"/>
      <c r="GT1323" s="8"/>
      <c r="GU1323" s="8"/>
      <c r="GV1323" s="8"/>
      <c r="GW1323" s="8"/>
      <c r="GX1323" s="8"/>
      <c r="GY1323" s="8"/>
      <c r="GZ1323" s="8"/>
      <c r="HA1323" s="8"/>
      <c r="HB1323" s="8"/>
      <c r="HC1323" s="8"/>
      <c r="HD1323" s="8"/>
      <c r="HE1323" s="8"/>
      <c r="HF1323" s="8"/>
      <c r="HG1323" s="8"/>
      <c r="HH1323" s="8"/>
      <c r="HI1323" s="8"/>
      <c r="HJ1323" s="8"/>
      <c r="HK1323" s="8"/>
      <c r="HL1323" s="8"/>
      <c r="HM1323" s="8"/>
      <c r="HN1323" s="8"/>
      <c r="HO1323" s="8"/>
      <c r="HP1323" s="8"/>
      <c r="HQ1323" s="8"/>
      <c r="HR1323" s="8"/>
      <c r="HS1323" s="8"/>
      <c r="HT1323" s="8"/>
      <c r="HU1323" s="8"/>
      <c r="HV1323" s="8"/>
      <c r="HW1323" s="8"/>
      <c r="HX1323" s="8"/>
      <c r="HY1323" s="8"/>
      <c r="HZ1323" s="8"/>
      <c r="IA1323" s="8"/>
      <c r="IB1323" s="8"/>
      <c r="IC1323" s="8"/>
      <c r="ID1323" s="8"/>
      <c r="IE1323" s="8"/>
      <c r="IF1323" s="8"/>
    </row>
    <row r="1324" spans="1:240" ht="30" customHeight="1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17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8"/>
      <c r="AP1324" s="8"/>
      <c r="AQ1324" s="8"/>
      <c r="AR1324" s="8"/>
      <c r="AS1324" s="8"/>
      <c r="AT1324" s="8"/>
      <c r="AU1324" s="8"/>
      <c r="AV1324" s="8"/>
      <c r="AW1324" s="8"/>
      <c r="AX1324" s="8"/>
      <c r="AY1324" s="8"/>
      <c r="AZ1324" s="8"/>
      <c r="BA1324" s="8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8"/>
      <c r="BS1324" s="8"/>
      <c r="BT1324" s="8"/>
      <c r="BU1324" s="8"/>
      <c r="BV1324" s="8"/>
      <c r="BW1324" s="8"/>
      <c r="BX1324" s="8"/>
      <c r="BY1324" s="8"/>
      <c r="BZ1324" s="8"/>
      <c r="CA1324" s="8"/>
      <c r="CB1324" s="8"/>
      <c r="CC1324" s="8"/>
      <c r="CD1324" s="8"/>
      <c r="CE1324" s="8"/>
      <c r="CF1324" s="8"/>
      <c r="CG1324" s="8"/>
      <c r="CH1324" s="8"/>
      <c r="CI1324" s="8"/>
      <c r="CJ1324" s="8"/>
      <c r="CK1324" s="8"/>
      <c r="CL1324" s="8"/>
      <c r="CM1324" s="8"/>
      <c r="CN1324" s="8"/>
      <c r="CO1324" s="8"/>
      <c r="CP1324" s="8"/>
      <c r="CQ1324" s="8"/>
      <c r="CR1324" s="8"/>
      <c r="CS1324" s="8"/>
      <c r="CT1324" s="8"/>
      <c r="CU1324" s="8"/>
      <c r="CV1324" s="8"/>
      <c r="CW1324" s="8"/>
      <c r="CX1324" s="8"/>
      <c r="CY1324" s="8"/>
      <c r="CZ1324" s="8"/>
      <c r="DA1324" s="8"/>
      <c r="DB1324" s="8"/>
      <c r="DC1324" s="8"/>
      <c r="DD1324" s="8"/>
      <c r="DE1324" s="8"/>
      <c r="DF1324" s="8"/>
      <c r="DG1324" s="8"/>
      <c r="DH1324" s="8"/>
      <c r="DI1324" s="8"/>
      <c r="DJ1324" s="8"/>
      <c r="DK1324" s="8"/>
      <c r="DL1324" s="8"/>
      <c r="DM1324" s="8"/>
      <c r="DN1324" s="8"/>
      <c r="DO1324" s="8"/>
      <c r="DP1324" s="8"/>
      <c r="DQ1324" s="8"/>
      <c r="DR1324" s="8"/>
      <c r="DS1324" s="8"/>
      <c r="DT1324" s="8"/>
      <c r="DU1324" s="8"/>
      <c r="DV1324" s="8"/>
      <c r="DW1324" s="8"/>
      <c r="DX1324" s="8"/>
      <c r="DY1324" s="8"/>
      <c r="DZ1324" s="8"/>
      <c r="EA1324" s="8"/>
      <c r="EB1324" s="8"/>
      <c r="EC1324" s="8"/>
      <c r="ED1324" s="8"/>
      <c r="EE1324" s="8"/>
      <c r="EF1324" s="8"/>
      <c r="EG1324" s="8"/>
      <c r="EH1324" s="8"/>
      <c r="EI1324" s="8"/>
      <c r="EJ1324" s="8"/>
      <c r="EK1324" s="8"/>
      <c r="EL1324" s="8"/>
      <c r="EM1324" s="8"/>
      <c r="EN1324" s="8"/>
      <c r="EO1324" s="8"/>
      <c r="EP1324" s="8"/>
      <c r="EQ1324" s="8"/>
      <c r="ER1324" s="8"/>
      <c r="ES1324" s="8"/>
      <c r="ET1324" s="8"/>
      <c r="EU1324" s="8"/>
      <c r="EV1324" s="8"/>
      <c r="EW1324" s="8"/>
      <c r="EX1324" s="8"/>
      <c r="EY1324" s="8"/>
      <c r="EZ1324" s="8"/>
      <c r="FA1324" s="8"/>
      <c r="FB1324" s="8"/>
      <c r="FC1324" s="8"/>
      <c r="FD1324" s="8"/>
      <c r="FE1324" s="8"/>
      <c r="FF1324" s="8"/>
      <c r="FG1324" s="8"/>
      <c r="FH1324" s="8"/>
      <c r="FI1324" s="8"/>
      <c r="FJ1324" s="8"/>
      <c r="FK1324" s="8"/>
      <c r="FL1324" s="8"/>
      <c r="FM1324" s="8"/>
      <c r="FN1324" s="8"/>
      <c r="FO1324" s="8"/>
      <c r="FP1324" s="8"/>
      <c r="FQ1324" s="8"/>
      <c r="FR1324" s="8"/>
      <c r="FS1324" s="8"/>
      <c r="FT1324" s="8"/>
      <c r="FU1324" s="8"/>
      <c r="FV1324" s="8"/>
      <c r="FW1324" s="8"/>
      <c r="FX1324" s="8"/>
      <c r="FY1324" s="8"/>
      <c r="FZ1324" s="8"/>
      <c r="GA1324" s="8"/>
      <c r="GB1324" s="8"/>
      <c r="GC1324" s="8"/>
      <c r="GD1324" s="8"/>
      <c r="GE1324" s="8"/>
      <c r="GF1324" s="8"/>
      <c r="GG1324" s="8"/>
      <c r="GH1324" s="8"/>
      <c r="GI1324" s="8"/>
      <c r="GJ1324" s="8"/>
      <c r="GK1324" s="8"/>
      <c r="GL1324" s="8"/>
      <c r="GM1324" s="8"/>
      <c r="GN1324" s="8"/>
      <c r="GO1324" s="8"/>
      <c r="GP1324" s="8"/>
      <c r="GQ1324" s="8"/>
      <c r="GR1324" s="8"/>
      <c r="GS1324" s="8"/>
      <c r="GT1324" s="8"/>
      <c r="GU1324" s="8"/>
      <c r="GV1324" s="8"/>
      <c r="GW1324" s="8"/>
      <c r="GX1324" s="8"/>
      <c r="GY1324" s="8"/>
      <c r="GZ1324" s="8"/>
      <c r="HA1324" s="8"/>
      <c r="HB1324" s="8"/>
      <c r="HC1324" s="8"/>
      <c r="HD1324" s="8"/>
      <c r="HE1324" s="8"/>
      <c r="HF1324" s="8"/>
      <c r="HG1324" s="8"/>
      <c r="HH1324" s="8"/>
      <c r="HI1324" s="8"/>
      <c r="HJ1324" s="8"/>
      <c r="HK1324" s="8"/>
      <c r="HL1324" s="8"/>
      <c r="HM1324" s="8"/>
      <c r="HN1324" s="8"/>
      <c r="HO1324" s="8"/>
      <c r="HP1324" s="8"/>
      <c r="HQ1324" s="8"/>
      <c r="HR1324" s="8"/>
      <c r="HS1324" s="8"/>
      <c r="HT1324" s="8"/>
      <c r="HU1324" s="8"/>
      <c r="HV1324" s="8"/>
      <c r="HW1324" s="8"/>
      <c r="HX1324" s="8"/>
      <c r="HY1324" s="8"/>
      <c r="HZ1324" s="8"/>
      <c r="IA1324" s="8"/>
      <c r="IB1324" s="8"/>
      <c r="IC1324" s="8"/>
      <c r="ID1324" s="8"/>
      <c r="IE1324" s="8"/>
      <c r="IF1324" s="8"/>
    </row>
    <row r="1325" spans="1:240" ht="30" customHeight="1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17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8"/>
      <c r="BS1325" s="8"/>
      <c r="BT1325" s="8"/>
      <c r="BU1325" s="8"/>
      <c r="BV1325" s="8"/>
      <c r="BW1325" s="8"/>
      <c r="BX1325" s="8"/>
      <c r="BY1325" s="8"/>
      <c r="BZ1325" s="8"/>
      <c r="CA1325" s="8"/>
      <c r="CB1325" s="8"/>
      <c r="CC1325" s="8"/>
      <c r="CD1325" s="8"/>
      <c r="CE1325" s="8"/>
      <c r="CF1325" s="8"/>
      <c r="CG1325" s="8"/>
      <c r="CH1325" s="8"/>
      <c r="CI1325" s="8"/>
      <c r="CJ1325" s="8"/>
      <c r="CK1325" s="8"/>
      <c r="CL1325" s="8"/>
      <c r="CM1325" s="8"/>
      <c r="CN1325" s="8"/>
      <c r="CO1325" s="8"/>
      <c r="CP1325" s="8"/>
      <c r="CQ1325" s="8"/>
      <c r="CR1325" s="8"/>
      <c r="CS1325" s="8"/>
      <c r="CT1325" s="8"/>
      <c r="CU1325" s="8"/>
      <c r="CV1325" s="8"/>
      <c r="CW1325" s="8"/>
      <c r="CX1325" s="8"/>
      <c r="CY1325" s="8"/>
      <c r="CZ1325" s="8"/>
      <c r="DA1325" s="8"/>
      <c r="DB1325" s="8"/>
      <c r="DC1325" s="8"/>
      <c r="DD1325" s="8"/>
      <c r="DE1325" s="8"/>
      <c r="DF1325" s="8"/>
      <c r="DG1325" s="8"/>
      <c r="DH1325" s="8"/>
      <c r="DI1325" s="8"/>
      <c r="DJ1325" s="8"/>
      <c r="DK1325" s="8"/>
      <c r="DL1325" s="8"/>
      <c r="DM1325" s="8"/>
      <c r="DN1325" s="8"/>
      <c r="DO1325" s="8"/>
      <c r="DP1325" s="8"/>
      <c r="DQ1325" s="8"/>
      <c r="DR1325" s="8"/>
      <c r="DS1325" s="8"/>
      <c r="DT1325" s="8"/>
      <c r="DU1325" s="8"/>
      <c r="DV1325" s="8"/>
      <c r="DW1325" s="8"/>
      <c r="DX1325" s="8"/>
      <c r="DY1325" s="8"/>
      <c r="DZ1325" s="8"/>
      <c r="EA1325" s="8"/>
      <c r="EB1325" s="8"/>
      <c r="EC1325" s="8"/>
      <c r="ED1325" s="8"/>
      <c r="EE1325" s="8"/>
      <c r="EF1325" s="8"/>
      <c r="EG1325" s="8"/>
      <c r="EH1325" s="8"/>
      <c r="EI1325" s="8"/>
      <c r="EJ1325" s="8"/>
      <c r="EK1325" s="8"/>
      <c r="EL1325" s="8"/>
      <c r="EM1325" s="8"/>
      <c r="EN1325" s="8"/>
      <c r="EO1325" s="8"/>
      <c r="EP1325" s="8"/>
      <c r="EQ1325" s="8"/>
      <c r="ER1325" s="8"/>
      <c r="ES1325" s="8"/>
      <c r="ET1325" s="8"/>
      <c r="EU1325" s="8"/>
      <c r="EV1325" s="8"/>
      <c r="EW1325" s="8"/>
      <c r="EX1325" s="8"/>
      <c r="EY1325" s="8"/>
      <c r="EZ1325" s="8"/>
      <c r="FA1325" s="8"/>
      <c r="FB1325" s="8"/>
      <c r="FC1325" s="8"/>
      <c r="FD1325" s="8"/>
      <c r="FE1325" s="8"/>
      <c r="FF1325" s="8"/>
      <c r="FG1325" s="8"/>
      <c r="FH1325" s="8"/>
      <c r="FI1325" s="8"/>
      <c r="FJ1325" s="8"/>
      <c r="FK1325" s="8"/>
      <c r="FL1325" s="8"/>
      <c r="FM1325" s="8"/>
      <c r="FN1325" s="8"/>
      <c r="FO1325" s="8"/>
      <c r="FP1325" s="8"/>
      <c r="FQ1325" s="8"/>
      <c r="FR1325" s="8"/>
      <c r="FS1325" s="8"/>
      <c r="FT1325" s="8"/>
      <c r="FU1325" s="8"/>
      <c r="FV1325" s="8"/>
      <c r="FW1325" s="8"/>
      <c r="FX1325" s="8"/>
      <c r="FY1325" s="8"/>
      <c r="FZ1325" s="8"/>
      <c r="GA1325" s="8"/>
      <c r="GB1325" s="8"/>
      <c r="GC1325" s="8"/>
      <c r="GD1325" s="8"/>
      <c r="GE1325" s="8"/>
      <c r="GF1325" s="8"/>
      <c r="GG1325" s="8"/>
      <c r="GH1325" s="8"/>
      <c r="GI1325" s="8"/>
      <c r="GJ1325" s="8"/>
      <c r="GK1325" s="8"/>
      <c r="GL1325" s="8"/>
      <c r="GM1325" s="8"/>
      <c r="GN1325" s="8"/>
      <c r="GO1325" s="8"/>
      <c r="GP1325" s="8"/>
      <c r="GQ1325" s="8"/>
      <c r="GR1325" s="8"/>
      <c r="GS1325" s="8"/>
      <c r="GT1325" s="8"/>
      <c r="GU1325" s="8"/>
      <c r="GV1325" s="8"/>
      <c r="GW1325" s="8"/>
      <c r="GX1325" s="8"/>
      <c r="GY1325" s="8"/>
      <c r="GZ1325" s="8"/>
      <c r="HA1325" s="8"/>
      <c r="HB1325" s="8"/>
      <c r="HC1325" s="8"/>
      <c r="HD1325" s="8"/>
      <c r="HE1325" s="8"/>
      <c r="HF1325" s="8"/>
      <c r="HG1325" s="8"/>
      <c r="HH1325" s="8"/>
      <c r="HI1325" s="8"/>
      <c r="HJ1325" s="8"/>
      <c r="HK1325" s="8"/>
      <c r="HL1325" s="8"/>
      <c r="HM1325" s="8"/>
      <c r="HN1325" s="8"/>
      <c r="HO1325" s="8"/>
      <c r="HP1325" s="8"/>
      <c r="HQ1325" s="8"/>
      <c r="HR1325" s="8"/>
      <c r="HS1325" s="8"/>
      <c r="HT1325" s="8"/>
      <c r="HU1325" s="8"/>
      <c r="HV1325" s="8"/>
      <c r="HW1325" s="8"/>
      <c r="HX1325" s="8"/>
      <c r="HY1325" s="8"/>
      <c r="HZ1325" s="8"/>
      <c r="IA1325" s="8"/>
      <c r="IB1325" s="8"/>
      <c r="IC1325" s="8"/>
      <c r="ID1325" s="8"/>
      <c r="IE1325" s="8"/>
      <c r="IF1325" s="8"/>
    </row>
    <row r="1326" spans="1:240" ht="30" customHeight="1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17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8"/>
      <c r="AP1326" s="8"/>
      <c r="AQ1326" s="8"/>
      <c r="AR1326" s="8"/>
      <c r="AS1326" s="8"/>
      <c r="AT1326" s="8"/>
      <c r="AU1326" s="8"/>
      <c r="AV1326" s="8"/>
      <c r="AW1326" s="8"/>
      <c r="AX1326" s="8"/>
      <c r="AY1326" s="8"/>
      <c r="AZ1326" s="8"/>
      <c r="BA1326" s="8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8"/>
      <c r="BS1326" s="8"/>
      <c r="BT1326" s="8"/>
      <c r="BU1326" s="8"/>
      <c r="BV1326" s="8"/>
      <c r="BW1326" s="8"/>
      <c r="BX1326" s="8"/>
      <c r="BY1326" s="8"/>
      <c r="BZ1326" s="8"/>
      <c r="CA1326" s="8"/>
      <c r="CB1326" s="8"/>
      <c r="CC1326" s="8"/>
      <c r="CD1326" s="8"/>
      <c r="CE1326" s="8"/>
      <c r="CF1326" s="8"/>
      <c r="CG1326" s="8"/>
      <c r="CH1326" s="8"/>
      <c r="CI1326" s="8"/>
      <c r="CJ1326" s="8"/>
      <c r="CK1326" s="8"/>
      <c r="CL1326" s="8"/>
      <c r="CM1326" s="8"/>
      <c r="CN1326" s="8"/>
      <c r="CO1326" s="8"/>
      <c r="CP1326" s="8"/>
      <c r="CQ1326" s="8"/>
      <c r="CR1326" s="8"/>
      <c r="CS1326" s="8"/>
      <c r="CT1326" s="8"/>
      <c r="CU1326" s="8"/>
      <c r="CV1326" s="8"/>
      <c r="CW1326" s="8"/>
      <c r="CX1326" s="8"/>
      <c r="CY1326" s="8"/>
      <c r="CZ1326" s="8"/>
      <c r="DA1326" s="8"/>
      <c r="DB1326" s="8"/>
      <c r="DC1326" s="8"/>
      <c r="DD1326" s="8"/>
      <c r="DE1326" s="8"/>
      <c r="DF1326" s="8"/>
      <c r="DG1326" s="8"/>
      <c r="DH1326" s="8"/>
      <c r="DI1326" s="8"/>
      <c r="DJ1326" s="8"/>
      <c r="DK1326" s="8"/>
      <c r="DL1326" s="8"/>
      <c r="DM1326" s="8"/>
      <c r="DN1326" s="8"/>
      <c r="DO1326" s="8"/>
      <c r="DP1326" s="8"/>
      <c r="DQ1326" s="8"/>
      <c r="DR1326" s="8"/>
      <c r="DS1326" s="8"/>
      <c r="DT1326" s="8"/>
      <c r="DU1326" s="8"/>
      <c r="DV1326" s="8"/>
      <c r="DW1326" s="8"/>
      <c r="DX1326" s="8"/>
      <c r="DY1326" s="8"/>
      <c r="DZ1326" s="8"/>
      <c r="EA1326" s="8"/>
      <c r="EB1326" s="8"/>
      <c r="EC1326" s="8"/>
      <c r="ED1326" s="8"/>
      <c r="EE1326" s="8"/>
      <c r="EF1326" s="8"/>
      <c r="EG1326" s="8"/>
      <c r="EH1326" s="8"/>
      <c r="EI1326" s="8"/>
      <c r="EJ1326" s="8"/>
      <c r="EK1326" s="8"/>
      <c r="EL1326" s="8"/>
      <c r="EM1326" s="8"/>
      <c r="EN1326" s="8"/>
      <c r="EO1326" s="8"/>
      <c r="EP1326" s="8"/>
      <c r="EQ1326" s="8"/>
      <c r="ER1326" s="8"/>
      <c r="ES1326" s="8"/>
      <c r="ET1326" s="8"/>
      <c r="EU1326" s="8"/>
      <c r="EV1326" s="8"/>
      <c r="EW1326" s="8"/>
      <c r="EX1326" s="8"/>
      <c r="EY1326" s="8"/>
      <c r="EZ1326" s="8"/>
      <c r="FA1326" s="8"/>
      <c r="FB1326" s="8"/>
      <c r="FC1326" s="8"/>
      <c r="FD1326" s="8"/>
      <c r="FE1326" s="8"/>
      <c r="FF1326" s="8"/>
      <c r="FG1326" s="8"/>
      <c r="FH1326" s="8"/>
      <c r="FI1326" s="8"/>
      <c r="FJ1326" s="8"/>
      <c r="FK1326" s="8"/>
      <c r="FL1326" s="8"/>
      <c r="FM1326" s="8"/>
      <c r="FN1326" s="8"/>
      <c r="FO1326" s="8"/>
      <c r="FP1326" s="8"/>
      <c r="FQ1326" s="8"/>
      <c r="FR1326" s="8"/>
      <c r="FS1326" s="8"/>
      <c r="FT1326" s="8"/>
      <c r="FU1326" s="8"/>
      <c r="FV1326" s="8"/>
      <c r="FW1326" s="8"/>
      <c r="FX1326" s="8"/>
      <c r="FY1326" s="8"/>
      <c r="FZ1326" s="8"/>
      <c r="GA1326" s="8"/>
      <c r="GB1326" s="8"/>
      <c r="GC1326" s="8"/>
      <c r="GD1326" s="8"/>
      <c r="GE1326" s="8"/>
      <c r="GF1326" s="8"/>
      <c r="GG1326" s="8"/>
      <c r="GH1326" s="8"/>
      <c r="GI1326" s="8"/>
      <c r="GJ1326" s="8"/>
      <c r="GK1326" s="8"/>
      <c r="GL1326" s="8"/>
      <c r="GM1326" s="8"/>
      <c r="GN1326" s="8"/>
      <c r="GO1326" s="8"/>
      <c r="GP1326" s="8"/>
      <c r="GQ1326" s="8"/>
      <c r="GR1326" s="8"/>
      <c r="GS1326" s="8"/>
      <c r="GT1326" s="8"/>
      <c r="GU1326" s="8"/>
      <c r="GV1326" s="8"/>
      <c r="GW1326" s="8"/>
      <c r="GX1326" s="8"/>
      <c r="GY1326" s="8"/>
      <c r="GZ1326" s="8"/>
      <c r="HA1326" s="8"/>
      <c r="HB1326" s="8"/>
      <c r="HC1326" s="8"/>
      <c r="HD1326" s="8"/>
      <c r="HE1326" s="8"/>
      <c r="HF1326" s="8"/>
      <c r="HG1326" s="8"/>
      <c r="HH1326" s="8"/>
      <c r="HI1326" s="8"/>
      <c r="HJ1326" s="8"/>
      <c r="HK1326" s="8"/>
      <c r="HL1326" s="8"/>
      <c r="HM1326" s="8"/>
      <c r="HN1326" s="8"/>
      <c r="HO1326" s="8"/>
      <c r="HP1326" s="8"/>
      <c r="HQ1326" s="8"/>
      <c r="HR1326" s="8"/>
      <c r="HS1326" s="8"/>
      <c r="HT1326" s="8"/>
      <c r="HU1326" s="8"/>
      <c r="HV1326" s="8"/>
      <c r="HW1326" s="8"/>
      <c r="HX1326" s="8"/>
      <c r="HY1326" s="8"/>
      <c r="HZ1326" s="8"/>
      <c r="IA1326" s="8"/>
      <c r="IB1326" s="8"/>
      <c r="IC1326" s="8"/>
      <c r="ID1326" s="8"/>
      <c r="IE1326" s="8"/>
      <c r="IF1326" s="8"/>
    </row>
    <row r="1327" spans="1:240" ht="30" customHeight="1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17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8"/>
      <c r="AP1327" s="8"/>
      <c r="AQ1327" s="8"/>
      <c r="AR1327" s="8"/>
      <c r="AS1327" s="8"/>
      <c r="AT1327" s="8"/>
      <c r="AU1327" s="8"/>
      <c r="AV1327" s="8"/>
      <c r="AW1327" s="8"/>
      <c r="AX1327" s="8"/>
      <c r="AY1327" s="8"/>
      <c r="AZ1327" s="8"/>
      <c r="BA1327" s="8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8"/>
      <c r="BS1327" s="8"/>
      <c r="BT1327" s="8"/>
      <c r="BU1327" s="8"/>
      <c r="BV1327" s="8"/>
      <c r="BW1327" s="8"/>
      <c r="BX1327" s="8"/>
      <c r="BY1327" s="8"/>
      <c r="BZ1327" s="8"/>
      <c r="CA1327" s="8"/>
      <c r="CB1327" s="8"/>
      <c r="CC1327" s="8"/>
      <c r="CD1327" s="8"/>
      <c r="CE1327" s="8"/>
      <c r="CF1327" s="8"/>
      <c r="CG1327" s="8"/>
      <c r="CH1327" s="8"/>
      <c r="CI1327" s="8"/>
      <c r="CJ1327" s="8"/>
      <c r="CK1327" s="8"/>
      <c r="CL1327" s="8"/>
      <c r="CM1327" s="8"/>
      <c r="CN1327" s="8"/>
      <c r="CO1327" s="8"/>
      <c r="CP1327" s="8"/>
      <c r="CQ1327" s="8"/>
      <c r="CR1327" s="8"/>
      <c r="CS1327" s="8"/>
      <c r="CT1327" s="8"/>
      <c r="CU1327" s="8"/>
      <c r="CV1327" s="8"/>
      <c r="CW1327" s="8"/>
      <c r="CX1327" s="8"/>
      <c r="CY1327" s="8"/>
      <c r="CZ1327" s="8"/>
      <c r="DA1327" s="8"/>
      <c r="DB1327" s="8"/>
      <c r="DC1327" s="8"/>
      <c r="DD1327" s="8"/>
      <c r="DE1327" s="8"/>
      <c r="DF1327" s="8"/>
      <c r="DG1327" s="8"/>
      <c r="DH1327" s="8"/>
      <c r="DI1327" s="8"/>
      <c r="DJ1327" s="8"/>
      <c r="DK1327" s="8"/>
      <c r="DL1327" s="8"/>
      <c r="DM1327" s="8"/>
      <c r="DN1327" s="8"/>
      <c r="DO1327" s="8"/>
      <c r="DP1327" s="8"/>
      <c r="DQ1327" s="8"/>
      <c r="DR1327" s="8"/>
      <c r="DS1327" s="8"/>
      <c r="DT1327" s="8"/>
      <c r="DU1327" s="8"/>
      <c r="DV1327" s="8"/>
      <c r="DW1327" s="8"/>
      <c r="DX1327" s="8"/>
      <c r="DY1327" s="8"/>
      <c r="DZ1327" s="8"/>
      <c r="EA1327" s="8"/>
      <c r="EB1327" s="8"/>
      <c r="EC1327" s="8"/>
      <c r="ED1327" s="8"/>
      <c r="EE1327" s="8"/>
      <c r="EF1327" s="8"/>
      <c r="EG1327" s="8"/>
      <c r="EH1327" s="8"/>
      <c r="EI1327" s="8"/>
      <c r="EJ1327" s="8"/>
      <c r="EK1327" s="8"/>
      <c r="EL1327" s="8"/>
      <c r="EM1327" s="8"/>
      <c r="EN1327" s="8"/>
      <c r="EO1327" s="8"/>
      <c r="EP1327" s="8"/>
      <c r="EQ1327" s="8"/>
      <c r="ER1327" s="8"/>
      <c r="ES1327" s="8"/>
      <c r="ET1327" s="8"/>
      <c r="EU1327" s="8"/>
      <c r="EV1327" s="8"/>
      <c r="EW1327" s="8"/>
      <c r="EX1327" s="8"/>
      <c r="EY1327" s="8"/>
      <c r="EZ1327" s="8"/>
      <c r="FA1327" s="8"/>
      <c r="FB1327" s="8"/>
      <c r="FC1327" s="8"/>
      <c r="FD1327" s="8"/>
      <c r="FE1327" s="8"/>
      <c r="FF1327" s="8"/>
      <c r="FG1327" s="8"/>
      <c r="FH1327" s="8"/>
      <c r="FI1327" s="8"/>
      <c r="FJ1327" s="8"/>
      <c r="FK1327" s="8"/>
      <c r="FL1327" s="8"/>
      <c r="FM1327" s="8"/>
      <c r="FN1327" s="8"/>
      <c r="FO1327" s="8"/>
      <c r="FP1327" s="8"/>
      <c r="FQ1327" s="8"/>
      <c r="FR1327" s="8"/>
      <c r="FS1327" s="8"/>
      <c r="FT1327" s="8"/>
      <c r="FU1327" s="8"/>
      <c r="FV1327" s="8"/>
      <c r="FW1327" s="8"/>
      <c r="FX1327" s="8"/>
      <c r="FY1327" s="8"/>
      <c r="FZ1327" s="8"/>
      <c r="GA1327" s="8"/>
      <c r="GB1327" s="8"/>
      <c r="GC1327" s="8"/>
      <c r="GD1327" s="8"/>
      <c r="GE1327" s="8"/>
      <c r="GF1327" s="8"/>
      <c r="GG1327" s="8"/>
      <c r="GH1327" s="8"/>
      <c r="GI1327" s="8"/>
      <c r="GJ1327" s="8"/>
      <c r="GK1327" s="8"/>
      <c r="GL1327" s="8"/>
      <c r="GM1327" s="8"/>
      <c r="GN1327" s="8"/>
      <c r="GO1327" s="8"/>
      <c r="GP1327" s="8"/>
      <c r="GQ1327" s="8"/>
      <c r="GR1327" s="8"/>
      <c r="GS1327" s="8"/>
      <c r="GT1327" s="8"/>
      <c r="GU1327" s="8"/>
      <c r="GV1327" s="8"/>
      <c r="GW1327" s="8"/>
      <c r="GX1327" s="8"/>
      <c r="GY1327" s="8"/>
      <c r="GZ1327" s="8"/>
      <c r="HA1327" s="8"/>
      <c r="HB1327" s="8"/>
      <c r="HC1327" s="8"/>
      <c r="HD1327" s="8"/>
      <c r="HE1327" s="8"/>
      <c r="HF1327" s="8"/>
      <c r="HG1327" s="8"/>
      <c r="HH1327" s="8"/>
      <c r="HI1327" s="8"/>
      <c r="HJ1327" s="8"/>
      <c r="HK1327" s="8"/>
      <c r="HL1327" s="8"/>
      <c r="HM1327" s="8"/>
      <c r="HN1327" s="8"/>
      <c r="HO1327" s="8"/>
      <c r="HP1327" s="8"/>
      <c r="HQ1327" s="8"/>
      <c r="HR1327" s="8"/>
      <c r="HS1327" s="8"/>
      <c r="HT1327" s="8"/>
      <c r="HU1327" s="8"/>
      <c r="HV1327" s="8"/>
      <c r="HW1327" s="8"/>
      <c r="HX1327" s="8"/>
      <c r="HY1327" s="8"/>
      <c r="HZ1327" s="8"/>
      <c r="IA1327" s="8"/>
      <c r="IB1327" s="8"/>
      <c r="IC1327" s="8"/>
      <c r="ID1327" s="8"/>
      <c r="IE1327" s="8"/>
      <c r="IF1327" s="8"/>
    </row>
    <row r="1328" spans="1:240" ht="30" customHeight="1">
      <c r="A1328" s="5"/>
      <c r="B1328" s="5"/>
      <c r="C1328" s="5"/>
      <c r="D1328" s="22"/>
      <c r="E1328" s="22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22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8"/>
      <c r="AP1328" s="8"/>
      <c r="AQ1328" s="8"/>
      <c r="AR1328" s="8"/>
      <c r="AS1328" s="8"/>
      <c r="AT1328" s="8"/>
      <c r="AU1328" s="8"/>
      <c r="AV1328" s="8"/>
      <c r="AW1328" s="8"/>
      <c r="AX1328" s="8"/>
      <c r="AY1328" s="8"/>
      <c r="AZ1328" s="8"/>
      <c r="BA1328" s="8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8"/>
      <c r="BS1328" s="8"/>
      <c r="BT1328" s="8"/>
      <c r="BU1328" s="8"/>
      <c r="BV1328" s="8"/>
      <c r="BW1328" s="8"/>
      <c r="BX1328" s="8"/>
      <c r="BY1328" s="8"/>
      <c r="BZ1328" s="8"/>
      <c r="CA1328" s="8"/>
      <c r="CB1328" s="8"/>
      <c r="CC1328" s="8"/>
      <c r="CD1328" s="8"/>
      <c r="CE1328" s="8"/>
      <c r="CF1328" s="8"/>
      <c r="CG1328" s="8"/>
      <c r="CH1328" s="8"/>
      <c r="CI1328" s="8"/>
      <c r="CJ1328" s="8"/>
      <c r="CK1328" s="8"/>
      <c r="CL1328" s="8"/>
      <c r="CM1328" s="8"/>
      <c r="CN1328" s="8"/>
      <c r="CO1328" s="8"/>
      <c r="CP1328" s="8"/>
      <c r="CQ1328" s="8"/>
      <c r="CR1328" s="8"/>
      <c r="CS1328" s="8"/>
      <c r="CT1328" s="8"/>
      <c r="CU1328" s="8"/>
      <c r="CV1328" s="8"/>
      <c r="CW1328" s="8"/>
      <c r="CX1328" s="8"/>
      <c r="CY1328" s="8"/>
      <c r="CZ1328" s="8"/>
      <c r="DA1328" s="8"/>
      <c r="DB1328" s="8"/>
      <c r="DC1328" s="8"/>
      <c r="DD1328" s="8"/>
      <c r="DE1328" s="8"/>
      <c r="DF1328" s="8"/>
      <c r="DG1328" s="8"/>
      <c r="DH1328" s="8"/>
      <c r="DI1328" s="8"/>
      <c r="DJ1328" s="8"/>
      <c r="DK1328" s="8"/>
      <c r="DL1328" s="8"/>
      <c r="DM1328" s="8"/>
      <c r="DN1328" s="8"/>
      <c r="DO1328" s="8"/>
      <c r="DP1328" s="8"/>
      <c r="DQ1328" s="8"/>
      <c r="DR1328" s="8"/>
      <c r="DS1328" s="8"/>
      <c r="DT1328" s="8"/>
      <c r="DU1328" s="8"/>
      <c r="DV1328" s="8"/>
      <c r="DW1328" s="8"/>
      <c r="DX1328" s="8"/>
      <c r="DY1328" s="8"/>
      <c r="DZ1328" s="8"/>
      <c r="EA1328" s="8"/>
      <c r="EB1328" s="8"/>
      <c r="EC1328" s="8"/>
      <c r="ED1328" s="8"/>
      <c r="EE1328" s="8"/>
      <c r="EF1328" s="8"/>
      <c r="EG1328" s="8"/>
      <c r="EH1328" s="8"/>
      <c r="EI1328" s="8"/>
      <c r="EJ1328" s="8"/>
      <c r="EK1328" s="8"/>
      <c r="EL1328" s="8"/>
      <c r="EM1328" s="8"/>
      <c r="EN1328" s="8"/>
      <c r="EO1328" s="8"/>
      <c r="EP1328" s="8"/>
      <c r="EQ1328" s="8"/>
      <c r="ER1328" s="8"/>
      <c r="ES1328" s="8"/>
      <c r="ET1328" s="8"/>
      <c r="EU1328" s="8"/>
      <c r="EV1328" s="8"/>
      <c r="EW1328" s="8"/>
      <c r="EX1328" s="8"/>
      <c r="EY1328" s="8"/>
      <c r="EZ1328" s="8"/>
      <c r="FA1328" s="8"/>
      <c r="FB1328" s="8"/>
      <c r="FC1328" s="8"/>
      <c r="FD1328" s="8"/>
      <c r="FE1328" s="8"/>
      <c r="FF1328" s="8"/>
      <c r="FG1328" s="8"/>
      <c r="FH1328" s="8"/>
      <c r="FI1328" s="8"/>
      <c r="FJ1328" s="8"/>
      <c r="FK1328" s="8"/>
      <c r="FL1328" s="8"/>
      <c r="FM1328" s="8"/>
      <c r="FN1328" s="8"/>
      <c r="FO1328" s="8"/>
      <c r="FP1328" s="8"/>
      <c r="FQ1328" s="8"/>
      <c r="FR1328" s="8"/>
      <c r="FS1328" s="8"/>
      <c r="FT1328" s="8"/>
      <c r="FU1328" s="8"/>
      <c r="FV1328" s="8"/>
      <c r="FW1328" s="8"/>
      <c r="FX1328" s="8"/>
      <c r="FY1328" s="8"/>
      <c r="FZ1328" s="8"/>
      <c r="GA1328" s="8"/>
      <c r="GB1328" s="8"/>
      <c r="GC1328" s="8"/>
      <c r="GD1328" s="8"/>
      <c r="GE1328" s="8"/>
      <c r="GF1328" s="8"/>
      <c r="GG1328" s="8"/>
      <c r="GH1328" s="8"/>
      <c r="GI1328" s="8"/>
      <c r="GJ1328" s="8"/>
      <c r="GK1328" s="8"/>
      <c r="GL1328" s="8"/>
      <c r="GM1328" s="8"/>
      <c r="GN1328" s="8"/>
      <c r="GO1328" s="8"/>
      <c r="GP1328" s="8"/>
      <c r="GQ1328" s="8"/>
      <c r="GR1328" s="8"/>
      <c r="GS1328" s="8"/>
      <c r="GT1328" s="8"/>
      <c r="GU1328" s="8"/>
      <c r="GV1328" s="8"/>
      <c r="GW1328" s="8"/>
      <c r="GX1328" s="8"/>
      <c r="GY1328" s="8"/>
      <c r="GZ1328" s="8"/>
      <c r="HA1328" s="8"/>
      <c r="HB1328" s="8"/>
      <c r="HC1328" s="8"/>
      <c r="HD1328" s="8"/>
      <c r="HE1328" s="8"/>
      <c r="HF1328" s="8"/>
      <c r="HG1328" s="8"/>
      <c r="HH1328" s="8"/>
      <c r="HI1328" s="8"/>
      <c r="HJ1328" s="8"/>
      <c r="HK1328" s="8"/>
      <c r="HL1328" s="8"/>
      <c r="HM1328" s="8"/>
      <c r="HN1328" s="8"/>
      <c r="HO1328" s="8"/>
      <c r="HP1328" s="8"/>
      <c r="HQ1328" s="8"/>
      <c r="HR1328" s="8"/>
      <c r="HS1328" s="8"/>
      <c r="HT1328" s="8"/>
      <c r="HU1328" s="8"/>
      <c r="HV1328" s="8"/>
      <c r="HW1328" s="8"/>
      <c r="HX1328" s="8"/>
      <c r="HY1328" s="8"/>
      <c r="HZ1328" s="8"/>
      <c r="IA1328" s="8"/>
      <c r="IB1328" s="8"/>
      <c r="IC1328" s="8"/>
      <c r="ID1328" s="8"/>
      <c r="IE1328" s="8"/>
      <c r="IF1328" s="8"/>
    </row>
    <row r="1329" spans="1:240">
      <c r="A1329" s="14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8"/>
      <c r="AP1329" s="8"/>
      <c r="AQ1329" s="8"/>
      <c r="AR1329" s="8"/>
      <c r="AS1329" s="8"/>
      <c r="AT1329" s="8"/>
      <c r="AU1329" s="8"/>
      <c r="AV1329" s="8"/>
      <c r="AW1329" s="8"/>
      <c r="AX1329" s="8"/>
      <c r="AY1329" s="8"/>
      <c r="AZ1329" s="8"/>
      <c r="BA1329" s="8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8"/>
      <c r="BS1329" s="8"/>
      <c r="BT1329" s="8"/>
      <c r="BU1329" s="8"/>
      <c r="BV1329" s="8"/>
      <c r="BW1329" s="8"/>
      <c r="BX1329" s="8"/>
      <c r="BY1329" s="8"/>
      <c r="BZ1329" s="8"/>
      <c r="CA1329" s="8"/>
      <c r="CB1329" s="8"/>
      <c r="CC1329" s="8"/>
      <c r="CD1329" s="8"/>
      <c r="CE1329" s="8"/>
      <c r="CF1329" s="8"/>
      <c r="CG1329" s="8"/>
      <c r="CH1329" s="8"/>
      <c r="CI1329" s="8"/>
      <c r="CJ1329" s="8"/>
      <c r="CK1329" s="8"/>
      <c r="CL1329" s="8"/>
      <c r="CM1329" s="8"/>
      <c r="CN1329" s="8"/>
      <c r="CO1329" s="8"/>
      <c r="CP1329" s="8"/>
      <c r="CQ1329" s="8"/>
      <c r="CR1329" s="8"/>
      <c r="CS1329" s="8"/>
      <c r="CT1329" s="8"/>
      <c r="CU1329" s="8"/>
      <c r="CV1329" s="8"/>
      <c r="CW1329" s="8"/>
      <c r="CX1329" s="8"/>
      <c r="CY1329" s="8"/>
      <c r="CZ1329" s="8"/>
      <c r="DA1329" s="8"/>
      <c r="DB1329" s="8"/>
      <c r="DC1329" s="8"/>
      <c r="DD1329" s="8"/>
      <c r="DE1329" s="8"/>
      <c r="DF1329" s="8"/>
      <c r="DG1329" s="8"/>
      <c r="DH1329" s="8"/>
      <c r="DI1329" s="8"/>
      <c r="DJ1329" s="8"/>
      <c r="DK1329" s="8"/>
      <c r="DL1329" s="8"/>
      <c r="DM1329" s="8"/>
      <c r="DN1329" s="8"/>
      <c r="DO1329" s="8"/>
      <c r="DP1329" s="8"/>
      <c r="DQ1329" s="8"/>
      <c r="DR1329" s="8"/>
      <c r="DS1329" s="8"/>
      <c r="DT1329" s="8"/>
      <c r="DU1329" s="8"/>
      <c r="DV1329" s="8"/>
      <c r="DW1329" s="8"/>
      <c r="DX1329" s="8"/>
      <c r="DY1329" s="8"/>
      <c r="DZ1329" s="8"/>
      <c r="EA1329" s="8"/>
      <c r="EB1329" s="8"/>
      <c r="EC1329" s="8"/>
      <c r="ED1329" s="8"/>
      <c r="EE1329" s="8"/>
      <c r="EF1329" s="8"/>
      <c r="EG1329" s="8"/>
      <c r="EH1329" s="8"/>
      <c r="EI1329" s="8"/>
      <c r="EJ1329" s="8"/>
      <c r="EK1329" s="8"/>
      <c r="EL1329" s="8"/>
      <c r="EM1329" s="8"/>
      <c r="EN1329" s="8"/>
      <c r="EO1329" s="8"/>
      <c r="EP1329" s="8"/>
      <c r="EQ1329" s="8"/>
      <c r="ER1329" s="8"/>
      <c r="ES1329" s="8"/>
      <c r="ET1329" s="8"/>
      <c r="EU1329" s="8"/>
      <c r="EV1329" s="8"/>
      <c r="EW1329" s="8"/>
      <c r="EX1329" s="8"/>
      <c r="EY1329" s="8"/>
      <c r="EZ1329" s="8"/>
      <c r="FA1329" s="8"/>
      <c r="FB1329" s="8"/>
      <c r="FC1329" s="8"/>
      <c r="FD1329" s="8"/>
      <c r="FE1329" s="8"/>
      <c r="FF1329" s="8"/>
      <c r="FG1329" s="8"/>
      <c r="FH1329" s="8"/>
      <c r="FI1329" s="8"/>
      <c r="FJ1329" s="8"/>
      <c r="FK1329" s="8"/>
      <c r="FL1329" s="8"/>
      <c r="FM1329" s="8"/>
      <c r="FN1329" s="8"/>
      <c r="FO1329" s="8"/>
      <c r="FP1329" s="8"/>
      <c r="FQ1329" s="8"/>
      <c r="FR1329" s="8"/>
      <c r="FS1329" s="8"/>
      <c r="FT1329" s="8"/>
      <c r="FU1329" s="8"/>
      <c r="FV1329" s="8"/>
      <c r="FW1329" s="8"/>
      <c r="FX1329" s="8"/>
      <c r="FY1329" s="8"/>
      <c r="FZ1329" s="8"/>
      <c r="GA1329" s="8"/>
      <c r="GB1329" s="8"/>
      <c r="GC1329" s="8"/>
      <c r="GD1329" s="8"/>
      <c r="GE1329" s="8"/>
      <c r="GF1329" s="8"/>
      <c r="GG1329" s="8"/>
      <c r="GH1329" s="8"/>
      <c r="GI1329" s="8"/>
      <c r="GJ1329" s="8"/>
      <c r="GK1329" s="8"/>
      <c r="GL1329" s="8"/>
      <c r="GM1329" s="8"/>
      <c r="GN1329" s="8"/>
      <c r="GO1329" s="8"/>
      <c r="GP1329" s="8"/>
      <c r="GQ1329" s="8"/>
      <c r="GR1329" s="8"/>
      <c r="GS1329" s="8"/>
      <c r="GT1329" s="8"/>
      <c r="GU1329" s="8"/>
      <c r="GV1329" s="8"/>
      <c r="GW1329" s="8"/>
      <c r="GX1329" s="8"/>
      <c r="GY1329" s="8"/>
      <c r="GZ1329" s="8"/>
      <c r="HA1329" s="8"/>
      <c r="HB1329" s="8"/>
      <c r="HC1329" s="8"/>
      <c r="HD1329" s="8"/>
      <c r="HE1329" s="8"/>
      <c r="HF1329" s="8"/>
      <c r="HG1329" s="8"/>
      <c r="HH1329" s="8"/>
      <c r="HI1329" s="8"/>
      <c r="HJ1329" s="8"/>
      <c r="HK1329" s="8"/>
      <c r="HL1329" s="8"/>
      <c r="HM1329" s="8"/>
      <c r="HN1329" s="8"/>
      <c r="HO1329" s="8"/>
      <c r="HP1329" s="8"/>
      <c r="HQ1329" s="8"/>
      <c r="HR1329" s="8"/>
      <c r="HS1329" s="8"/>
      <c r="HT1329" s="8"/>
      <c r="HU1329" s="8"/>
      <c r="HV1329" s="8"/>
      <c r="HW1329" s="8"/>
      <c r="HX1329" s="8"/>
      <c r="HY1329" s="8"/>
      <c r="HZ1329" s="8"/>
      <c r="IA1329" s="8"/>
      <c r="IB1329" s="8"/>
      <c r="IC1329" s="8"/>
      <c r="ID1329" s="8"/>
      <c r="IE1329" s="8"/>
      <c r="IF1329" s="8"/>
    </row>
    <row r="1330" spans="1:240">
      <c r="A1330" s="14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8"/>
      <c r="AP1330" s="8"/>
      <c r="AQ1330" s="8"/>
      <c r="AR1330" s="8"/>
      <c r="AS1330" s="8"/>
      <c r="AT1330" s="8"/>
      <c r="AU1330" s="8"/>
      <c r="AV1330" s="8"/>
      <c r="AW1330" s="8"/>
      <c r="AX1330" s="8"/>
      <c r="AY1330" s="8"/>
      <c r="AZ1330" s="8"/>
      <c r="BA1330" s="8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8"/>
      <c r="BS1330" s="8"/>
      <c r="BT1330" s="8"/>
      <c r="BU1330" s="8"/>
      <c r="BV1330" s="8"/>
      <c r="BW1330" s="8"/>
      <c r="BX1330" s="8"/>
      <c r="BY1330" s="8"/>
      <c r="BZ1330" s="8"/>
      <c r="CA1330" s="8"/>
      <c r="CB1330" s="8"/>
      <c r="CC1330" s="8"/>
      <c r="CD1330" s="8"/>
      <c r="CE1330" s="8"/>
      <c r="CF1330" s="8"/>
      <c r="CG1330" s="8"/>
      <c r="CH1330" s="8"/>
      <c r="CI1330" s="8"/>
      <c r="CJ1330" s="8"/>
      <c r="CK1330" s="8"/>
      <c r="CL1330" s="8"/>
      <c r="CM1330" s="8"/>
      <c r="CN1330" s="8"/>
      <c r="CO1330" s="8"/>
      <c r="CP1330" s="8"/>
      <c r="CQ1330" s="8"/>
      <c r="CR1330" s="8"/>
      <c r="CS1330" s="8"/>
      <c r="CT1330" s="8"/>
      <c r="CU1330" s="8"/>
      <c r="CV1330" s="8"/>
      <c r="CW1330" s="8"/>
      <c r="CX1330" s="8"/>
      <c r="CY1330" s="8"/>
      <c r="CZ1330" s="8"/>
      <c r="DA1330" s="8"/>
      <c r="DB1330" s="8"/>
      <c r="DC1330" s="8"/>
      <c r="DD1330" s="8"/>
      <c r="DE1330" s="8"/>
      <c r="DF1330" s="8"/>
      <c r="DG1330" s="8"/>
      <c r="DH1330" s="8"/>
      <c r="DI1330" s="8"/>
      <c r="DJ1330" s="8"/>
      <c r="DK1330" s="8"/>
      <c r="DL1330" s="8"/>
      <c r="DM1330" s="8"/>
      <c r="DN1330" s="8"/>
      <c r="DO1330" s="8"/>
      <c r="DP1330" s="8"/>
      <c r="DQ1330" s="8"/>
      <c r="DR1330" s="8"/>
      <c r="DS1330" s="8"/>
      <c r="DT1330" s="8"/>
      <c r="DU1330" s="8"/>
      <c r="DV1330" s="8"/>
      <c r="DW1330" s="8"/>
      <c r="DX1330" s="8"/>
      <c r="DY1330" s="8"/>
      <c r="DZ1330" s="8"/>
      <c r="EA1330" s="8"/>
      <c r="EB1330" s="8"/>
      <c r="EC1330" s="8"/>
      <c r="ED1330" s="8"/>
      <c r="EE1330" s="8"/>
      <c r="EF1330" s="8"/>
      <c r="EG1330" s="8"/>
      <c r="EH1330" s="8"/>
      <c r="EI1330" s="8"/>
      <c r="EJ1330" s="8"/>
      <c r="EK1330" s="8"/>
      <c r="EL1330" s="8"/>
      <c r="EM1330" s="8"/>
      <c r="EN1330" s="8"/>
      <c r="EO1330" s="8"/>
      <c r="EP1330" s="8"/>
      <c r="EQ1330" s="8"/>
      <c r="ER1330" s="8"/>
      <c r="ES1330" s="8"/>
      <c r="ET1330" s="8"/>
      <c r="EU1330" s="8"/>
      <c r="EV1330" s="8"/>
      <c r="EW1330" s="8"/>
      <c r="EX1330" s="8"/>
      <c r="EY1330" s="8"/>
      <c r="EZ1330" s="8"/>
      <c r="FA1330" s="8"/>
      <c r="FB1330" s="8"/>
      <c r="FC1330" s="8"/>
      <c r="FD1330" s="8"/>
      <c r="FE1330" s="8"/>
      <c r="FF1330" s="8"/>
      <c r="FG1330" s="8"/>
      <c r="FH1330" s="8"/>
      <c r="FI1330" s="8"/>
      <c r="FJ1330" s="8"/>
      <c r="FK1330" s="8"/>
      <c r="FL1330" s="8"/>
      <c r="FM1330" s="8"/>
      <c r="FN1330" s="8"/>
      <c r="FO1330" s="8"/>
      <c r="FP1330" s="8"/>
      <c r="FQ1330" s="8"/>
      <c r="FR1330" s="8"/>
      <c r="FS1330" s="8"/>
      <c r="FT1330" s="8"/>
      <c r="FU1330" s="8"/>
      <c r="FV1330" s="8"/>
      <c r="FW1330" s="8"/>
      <c r="FX1330" s="8"/>
      <c r="FY1330" s="8"/>
      <c r="FZ1330" s="8"/>
      <c r="GA1330" s="8"/>
      <c r="GB1330" s="8"/>
      <c r="GC1330" s="8"/>
      <c r="GD1330" s="8"/>
      <c r="GE1330" s="8"/>
      <c r="GF1330" s="8"/>
      <c r="GG1330" s="8"/>
      <c r="GH1330" s="8"/>
      <c r="GI1330" s="8"/>
      <c r="GJ1330" s="8"/>
      <c r="GK1330" s="8"/>
      <c r="GL1330" s="8"/>
      <c r="GM1330" s="8"/>
      <c r="GN1330" s="8"/>
      <c r="GO1330" s="8"/>
      <c r="GP1330" s="8"/>
      <c r="GQ1330" s="8"/>
      <c r="GR1330" s="8"/>
      <c r="GS1330" s="8"/>
      <c r="GT1330" s="8"/>
      <c r="GU1330" s="8"/>
      <c r="GV1330" s="8"/>
      <c r="GW1330" s="8"/>
      <c r="GX1330" s="8"/>
      <c r="GY1330" s="8"/>
      <c r="GZ1330" s="8"/>
      <c r="HA1330" s="8"/>
      <c r="HB1330" s="8"/>
      <c r="HC1330" s="8"/>
      <c r="HD1330" s="8"/>
      <c r="HE1330" s="8"/>
      <c r="HF1330" s="8"/>
      <c r="HG1330" s="8"/>
      <c r="HH1330" s="8"/>
      <c r="HI1330" s="8"/>
      <c r="HJ1330" s="8"/>
      <c r="HK1330" s="8"/>
      <c r="HL1330" s="8"/>
      <c r="HM1330" s="8"/>
      <c r="HN1330" s="8"/>
      <c r="HO1330" s="8"/>
      <c r="HP1330" s="8"/>
      <c r="HQ1330" s="8"/>
      <c r="HR1330" s="8"/>
      <c r="HS1330" s="8"/>
      <c r="HT1330" s="8"/>
      <c r="HU1330" s="8"/>
      <c r="HV1330" s="8"/>
      <c r="HW1330" s="8"/>
      <c r="HX1330" s="8"/>
      <c r="HY1330" s="8"/>
      <c r="HZ1330" s="8"/>
      <c r="IA1330" s="8"/>
      <c r="IB1330" s="8"/>
      <c r="IC1330" s="8"/>
      <c r="ID1330" s="8"/>
      <c r="IE1330" s="8"/>
      <c r="IF1330" s="8"/>
    </row>
    <row r="1331" spans="1:240">
      <c r="A1331" s="14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8"/>
      <c r="AP1331" s="8"/>
      <c r="AQ1331" s="8"/>
      <c r="AR1331" s="8"/>
      <c r="AS1331" s="8"/>
      <c r="AT1331" s="8"/>
      <c r="AU1331" s="8"/>
      <c r="AV1331" s="8"/>
      <c r="AW1331" s="8"/>
      <c r="AX1331" s="8"/>
      <c r="AY1331" s="8"/>
      <c r="AZ1331" s="8"/>
      <c r="BA1331" s="8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8"/>
      <c r="BS1331" s="8"/>
      <c r="BT1331" s="8"/>
      <c r="BU1331" s="8"/>
      <c r="BV1331" s="8"/>
      <c r="BW1331" s="8"/>
      <c r="BX1331" s="8"/>
      <c r="BY1331" s="8"/>
      <c r="BZ1331" s="8"/>
      <c r="CA1331" s="8"/>
      <c r="CB1331" s="8"/>
      <c r="CC1331" s="8"/>
      <c r="CD1331" s="8"/>
      <c r="CE1331" s="8"/>
      <c r="CF1331" s="8"/>
      <c r="CG1331" s="8"/>
      <c r="CH1331" s="8"/>
      <c r="CI1331" s="8"/>
      <c r="CJ1331" s="8"/>
      <c r="CK1331" s="8"/>
      <c r="CL1331" s="8"/>
      <c r="CM1331" s="8"/>
      <c r="CN1331" s="8"/>
      <c r="CO1331" s="8"/>
      <c r="CP1331" s="8"/>
      <c r="CQ1331" s="8"/>
      <c r="CR1331" s="8"/>
      <c r="CS1331" s="8"/>
      <c r="CT1331" s="8"/>
      <c r="CU1331" s="8"/>
      <c r="CV1331" s="8"/>
      <c r="CW1331" s="8"/>
      <c r="CX1331" s="8"/>
      <c r="CY1331" s="8"/>
      <c r="CZ1331" s="8"/>
      <c r="DA1331" s="8"/>
      <c r="DB1331" s="8"/>
      <c r="DC1331" s="8"/>
      <c r="DD1331" s="8"/>
      <c r="DE1331" s="8"/>
      <c r="DF1331" s="8"/>
      <c r="DG1331" s="8"/>
      <c r="DH1331" s="8"/>
      <c r="DI1331" s="8"/>
      <c r="DJ1331" s="8"/>
      <c r="DK1331" s="8"/>
      <c r="DL1331" s="8"/>
      <c r="DM1331" s="8"/>
      <c r="DN1331" s="8"/>
      <c r="DO1331" s="8"/>
      <c r="DP1331" s="8"/>
      <c r="DQ1331" s="8"/>
      <c r="DR1331" s="8"/>
      <c r="DS1331" s="8"/>
      <c r="DT1331" s="8"/>
      <c r="DU1331" s="8"/>
      <c r="DV1331" s="8"/>
      <c r="DW1331" s="8"/>
      <c r="DX1331" s="8"/>
      <c r="DY1331" s="8"/>
      <c r="DZ1331" s="8"/>
      <c r="EA1331" s="8"/>
      <c r="EB1331" s="8"/>
      <c r="EC1331" s="8"/>
      <c r="ED1331" s="8"/>
      <c r="EE1331" s="8"/>
      <c r="EF1331" s="8"/>
      <c r="EG1331" s="8"/>
      <c r="EH1331" s="8"/>
      <c r="EI1331" s="8"/>
      <c r="EJ1331" s="8"/>
      <c r="EK1331" s="8"/>
      <c r="EL1331" s="8"/>
      <c r="EM1331" s="8"/>
      <c r="EN1331" s="8"/>
      <c r="EO1331" s="8"/>
      <c r="EP1331" s="8"/>
      <c r="EQ1331" s="8"/>
      <c r="ER1331" s="8"/>
      <c r="ES1331" s="8"/>
      <c r="ET1331" s="8"/>
      <c r="EU1331" s="8"/>
      <c r="EV1331" s="8"/>
      <c r="EW1331" s="8"/>
      <c r="EX1331" s="8"/>
      <c r="EY1331" s="8"/>
      <c r="EZ1331" s="8"/>
      <c r="FA1331" s="8"/>
      <c r="FB1331" s="8"/>
      <c r="FC1331" s="8"/>
      <c r="FD1331" s="8"/>
      <c r="FE1331" s="8"/>
      <c r="FF1331" s="8"/>
      <c r="FG1331" s="8"/>
      <c r="FH1331" s="8"/>
      <c r="FI1331" s="8"/>
      <c r="FJ1331" s="8"/>
      <c r="FK1331" s="8"/>
      <c r="FL1331" s="8"/>
      <c r="FM1331" s="8"/>
      <c r="FN1331" s="8"/>
      <c r="FO1331" s="8"/>
      <c r="FP1331" s="8"/>
      <c r="FQ1331" s="8"/>
      <c r="FR1331" s="8"/>
      <c r="FS1331" s="8"/>
      <c r="FT1331" s="8"/>
      <c r="FU1331" s="8"/>
      <c r="FV1331" s="8"/>
      <c r="FW1331" s="8"/>
      <c r="FX1331" s="8"/>
      <c r="FY1331" s="8"/>
      <c r="FZ1331" s="8"/>
      <c r="GA1331" s="8"/>
      <c r="GB1331" s="8"/>
      <c r="GC1331" s="8"/>
      <c r="GD1331" s="8"/>
      <c r="GE1331" s="8"/>
      <c r="GF1331" s="8"/>
      <c r="GG1331" s="8"/>
      <c r="GH1331" s="8"/>
      <c r="GI1331" s="8"/>
      <c r="GJ1331" s="8"/>
      <c r="GK1331" s="8"/>
      <c r="GL1331" s="8"/>
      <c r="GM1331" s="8"/>
      <c r="GN1331" s="8"/>
      <c r="GO1331" s="8"/>
      <c r="GP1331" s="8"/>
      <c r="GQ1331" s="8"/>
      <c r="GR1331" s="8"/>
      <c r="GS1331" s="8"/>
      <c r="GT1331" s="8"/>
      <c r="GU1331" s="8"/>
      <c r="GV1331" s="8"/>
      <c r="GW1331" s="8"/>
      <c r="GX1331" s="8"/>
      <c r="GY1331" s="8"/>
      <c r="GZ1331" s="8"/>
      <c r="HA1331" s="8"/>
      <c r="HB1331" s="8"/>
      <c r="HC1331" s="8"/>
      <c r="HD1331" s="8"/>
      <c r="HE1331" s="8"/>
      <c r="HF1331" s="8"/>
      <c r="HG1331" s="8"/>
      <c r="HH1331" s="8"/>
      <c r="HI1331" s="8"/>
      <c r="HJ1331" s="8"/>
      <c r="HK1331" s="8"/>
      <c r="HL1331" s="8"/>
      <c r="HM1331" s="8"/>
      <c r="HN1331" s="8"/>
      <c r="HO1331" s="8"/>
      <c r="HP1331" s="8"/>
      <c r="HQ1331" s="8"/>
      <c r="HR1331" s="8"/>
      <c r="HS1331" s="8"/>
      <c r="HT1331" s="8"/>
      <c r="HU1331" s="8"/>
      <c r="HV1331" s="8"/>
      <c r="HW1331" s="8"/>
      <c r="HX1331" s="8"/>
      <c r="HY1331" s="8"/>
      <c r="HZ1331" s="8"/>
      <c r="IA1331" s="8"/>
      <c r="IB1331" s="8"/>
      <c r="IC1331" s="8"/>
      <c r="ID1331" s="8"/>
      <c r="IE1331" s="8"/>
      <c r="IF1331" s="8"/>
    </row>
    <row r="1332" spans="1:240">
      <c r="A1332" s="14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8"/>
      <c r="AP1332" s="8"/>
      <c r="AQ1332" s="8"/>
      <c r="AR1332" s="8"/>
      <c r="AS1332" s="8"/>
      <c r="AT1332" s="8"/>
      <c r="AU1332" s="8"/>
      <c r="AV1332" s="8"/>
      <c r="AW1332" s="8"/>
      <c r="AX1332" s="8"/>
      <c r="AY1332" s="8"/>
      <c r="AZ1332" s="8"/>
      <c r="BA1332" s="8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8"/>
      <c r="BS1332" s="8"/>
      <c r="BT1332" s="8"/>
      <c r="BU1332" s="8"/>
      <c r="BV1332" s="8"/>
      <c r="BW1332" s="8"/>
      <c r="BX1332" s="8"/>
      <c r="BY1332" s="8"/>
      <c r="BZ1332" s="8"/>
      <c r="CA1332" s="8"/>
      <c r="CB1332" s="8"/>
      <c r="CC1332" s="8"/>
      <c r="CD1332" s="8"/>
      <c r="CE1332" s="8"/>
      <c r="CF1332" s="8"/>
      <c r="CG1332" s="8"/>
      <c r="CH1332" s="8"/>
      <c r="CI1332" s="8"/>
      <c r="CJ1332" s="8"/>
      <c r="CK1332" s="8"/>
      <c r="CL1332" s="8"/>
      <c r="CM1332" s="8"/>
      <c r="CN1332" s="8"/>
      <c r="CO1332" s="8"/>
      <c r="CP1332" s="8"/>
      <c r="CQ1332" s="8"/>
      <c r="CR1332" s="8"/>
      <c r="CS1332" s="8"/>
      <c r="CT1332" s="8"/>
      <c r="CU1332" s="8"/>
      <c r="CV1332" s="8"/>
      <c r="CW1332" s="8"/>
      <c r="CX1332" s="8"/>
      <c r="CY1332" s="8"/>
      <c r="CZ1332" s="8"/>
      <c r="DA1332" s="8"/>
      <c r="DB1332" s="8"/>
      <c r="DC1332" s="8"/>
      <c r="DD1332" s="8"/>
      <c r="DE1332" s="8"/>
      <c r="DF1332" s="8"/>
      <c r="DG1332" s="8"/>
      <c r="DH1332" s="8"/>
      <c r="DI1332" s="8"/>
      <c r="DJ1332" s="8"/>
      <c r="DK1332" s="8"/>
      <c r="DL1332" s="8"/>
      <c r="DM1332" s="8"/>
      <c r="DN1332" s="8"/>
      <c r="DO1332" s="8"/>
      <c r="DP1332" s="8"/>
      <c r="DQ1332" s="8"/>
      <c r="DR1332" s="8"/>
      <c r="DS1332" s="8"/>
      <c r="DT1332" s="8"/>
      <c r="DU1332" s="8"/>
      <c r="DV1332" s="8"/>
      <c r="DW1332" s="8"/>
      <c r="DX1332" s="8"/>
      <c r="DY1332" s="8"/>
      <c r="DZ1332" s="8"/>
      <c r="EA1332" s="8"/>
      <c r="EB1332" s="8"/>
      <c r="EC1332" s="8"/>
      <c r="ED1332" s="8"/>
      <c r="EE1332" s="8"/>
      <c r="EF1332" s="8"/>
      <c r="EG1332" s="8"/>
      <c r="EH1332" s="8"/>
      <c r="EI1332" s="8"/>
      <c r="EJ1332" s="8"/>
      <c r="EK1332" s="8"/>
      <c r="EL1332" s="8"/>
      <c r="EM1332" s="8"/>
      <c r="EN1332" s="8"/>
      <c r="EO1332" s="8"/>
      <c r="EP1332" s="8"/>
      <c r="EQ1332" s="8"/>
      <c r="ER1332" s="8"/>
      <c r="ES1332" s="8"/>
      <c r="ET1332" s="8"/>
      <c r="EU1332" s="8"/>
      <c r="EV1332" s="8"/>
      <c r="EW1332" s="8"/>
      <c r="EX1332" s="8"/>
      <c r="EY1332" s="8"/>
      <c r="EZ1332" s="8"/>
      <c r="FA1332" s="8"/>
      <c r="FB1332" s="8"/>
      <c r="FC1332" s="8"/>
      <c r="FD1332" s="8"/>
      <c r="FE1332" s="8"/>
      <c r="FF1332" s="8"/>
      <c r="FG1332" s="8"/>
      <c r="FH1332" s="8"/>
      <c r="FI1332" s="8"/>
      <c r="FJ1332" s="8"/>
      <c r="FK1332" s="8"/>
      <c r="FL1332" s="8"/>
      <c r="FM1332" s="8"/>
      <c r="FN1332" s="8"/>
      <c r="FO1332" s="8"/>
      <c r="FP1332" s="8"/>
      <c r="FQ1332" s="8"/>
      <c r="FR1332" s="8"/>
      <c r="FS1332" s="8"/>
      <c r="FT1332" s="8"/>
      <c r="FU1332" s="8"/>
      <c r="FV1332" s="8"/>
      <c r="FW1332" s="8"/>
      <c r="FX1332" s="8"/>
      <c r="FY1332" s="8"/>
      <c r="FZ1332" s="8"/>
      <c r="GA1332" s="8"/>
      <c r="GB1332" s="8"/>
      <c r="GC1332" s="8"/>
      <c r="GD1332" s="8"/>
      <c r="GE1332" s="8"/>
      <c r="GF1332" s="8"/>
      <c r="GG1332" s="8"/>
      <c r="GH1332" s="8"/>
      <c r="GI1332" s="8"/>
      <c r="GJ1332" s="8"/>
      <c r="GK1332" s="8"/>
      <c r="GL1332" s="8"/>
      <c r="GM1332" s="8"/>
      <c r="GN1332" s="8"/>
      <c r="GO1332" s="8"/>
      <c r="GP1332" s="8"/>
      <c r="GQ1332" s="8"/>
      <c r="GR1332" s="8"/>
      <c r="GS1332" s="8"/>
      <c r="GT1332" s="8"/>
      <c r="GU1332" s="8"/>
      <c r="GV1332" s="8"/>
      <c r="GW1332" s="8"/>
      <c r="GX1332" s="8"/>
      <c r="GY1332" s="8"/>
      <c r="GZ1332" s="8"/>
      <c r="HA1332" s="8"/>
      <c r="HB1332" s="8"/>
      <c r="HC1332" s="8"/>
      <c r="HD1332" s="8"/>
      <c r="HE1332" s="8"/>
      <c r="HF1332" s="8"/>
      <c r="HG1332" s="8"/>
      <c r="HH1332" s="8"/>
      <c r="HI1332" s="8"/>
      <c r="HJ1332" s="8"/>
      <c r="HK1332" s="8"/>
      <c r="HL1332" s="8"/>
      <c r="HM1332" s="8"/>
      <c r="HN1332" s="8"/>
      <c r="HO1332" s="8"/>
      <c r="HP1332" s="8"/>
      <c r="HQ1332" s="8"/>
      <c r="HR1332" s="8"/>
      <c r="HS1332" s="8"/>
      <c r="HT1332" s="8"/>
      <c r="HU1332" s="8"/>
      <c r="HV1332" s="8"/>
      <c r="HW1332" s="8"/>
      <c r="HX1332" s="8"/>
      <c r="HY1332" s="8"/>
      <c r="HZ1332" s="8"/>
      <c r="IA1332" s="8"/>
      <c r="IB1332" s="8"/>
      <c r="IC1332" s="8"/>
      <c r="ID1332" s="8"/>
      <c r="IE1332" s="8"/>
      <c r="IF1332" s="8"/>
    </row>
    <row r="1333" spans="1:240">
      <c r="A1333" s="14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8"/>
      <c r="AP1333" s="8"/>
      <c r="AQ1333" s="8"/>
      <c r="AR1333" s="8"/>
      <c r="AS1333" s="8"/>
      <c r="AT1333" s="8"/>
      <c r="AU1333" s="8"/>
      <c r="AV1333" s="8"/>
      <c r="AW1333" s="8"/>
      <c r="AX1333" s="8"/>
      <c r="AY1333" s="8"/>
      <c r="AZ1333" s="8"/>
      <c r="BA1333" s="8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8"/>
      <c r="BS1333" s="8"/>
      <c r="BT1333" s="8"/>
      <c r="BU1333" s="8"/>
      <c r="BV1333" s="8"/>
      <c r="BW1333" s="8"/>
      <c r="BX1333" s="8"/>
      <c r="BY1333" s="8"/>
      <c r="BZ1333" s="8"/>
      <c r="CA1333" s="8"/>
      <c r="CB1333" s="8"/>
      <c r="CC1333" s="8"/>
      <c r="CD1333" s="8"/>
      <c r="CE1333" s="8"/>
      <c r="CF1333" s="8"/>
      <c r="CG1333" s="8"/>
      <c r="CH1333" s="8"/>
      <c r="CI1333" s="8"/>
      <c r="CJ1333" s="8"/>
      <c r="CK1333" s="8"/>
      <c r="CL1333" s="8"/>
      <c r="CM1333" s="8"/>
      <c r="CN1333" s="8"/>
      <c r="CO1333" s="8"/>
      <c r="CP1333" s="8"/>
      <c r="CQ1333" s="8"/>
      <c r="CR1333" s="8"/>
      <c r="CS1333" s="8"/>
      <c r="CT1333" s="8"/>
      <c r="CU1333" s="8"/>
      <c r="CV1333" s="8"/>
      <c r="CW1333" s="8"/>
      <c r="CX1333" s="8"/>
      <c r="CY1333" s="8"/>
      <c r="CZ1333" s="8"/>
      <c r="DA1333" s="8"/>
      <c r="DB1333" s="8"/>
      <c r="DC1333" s="8"/>
      <c r="DD1333" s="8"/>
      <c r="DE1333" s="8"/>
      <c r="DF1333" s="8"/>
      <c r="DG1333" s="8"/>
      <c r="DH1333" s="8"/>
      <c r="DI1333" s="8"/>
      <c r="DJ1333" s="8"/>
      <c r="DK1333" s="8"/>
      <c r="DL1333" s="8"/>
      <c r="DM1333" s="8"/>
      <c r="DN1333" s="8"/>
      <c r="DO1333" s="8"/>
      <c r="DP1333" s="8"/>
      <c r="DQ1333" s="8"/>
      <c r="DR1333" s="8"/>
      <c r="DS1333" s="8"/>
      <c r="DT1333" s="8"/>
      <c r="DU1333" s="8"/>
      <c r="DV1333" s="8"/>
      <c r="DW1333" s="8"/>
      <c r="DX1333" s="8"/>
      <c r="DY1333" s="8"/>
      <c r="DZ1333" s="8"/>
      <c r="EA1333" s="8"/>
      <c r="EB1333" s="8"/>
      <c r="EC1333" s="8"/>
      <c r="ED1333" s="8"/>
      <c r="EE1333" s="8"/>
      <c r="EF1333" s="8"/>
      <c r="EG1333" s="8"/>
      <c r="EH1333" s="8"/>
      <c r="EI1333" s="8"/>
      <c r="EJ1333" s="8"/>
      <c r="EK1333" s="8"/>
      <c r="EL1333" s="8"/>
      <c r="EM1333" s="8"/>
      <c r="EN1333" s="8"/>
      <c r="EO1333" s="8"/>
      <c r="EP1333" s="8"/>
      <c r="EQ1333" s="8"/>
      <c r="ER1333" s="8"/>
      <c r="ES1333" s="8"/>
      <c r="ET1333" s="8"/>
      <c r="EU1333" s="8"/>
      <c r="EV1333" s="8"/>
      <c r="EW1333" s="8"/>
      <c r="EX1333" s="8"/>
      <c r="EY1333" s="8"/>
      <c r="EZ1333" s="8"/>
      <c r="FA1333" s="8"/>
      <c r="FB1333" s="8"/>
      <c r="FC1333" s="8"/>
      <c r="FD1333" s="8"/>
      <c r="FE1333" s="8"/>
      <c r="FF1333" s="8"/>
      <c r="FG1333" s="8"/>
      <c r="FH1333" s="8"/>
      <c r="FI1333" s="8"/>
      <c r="FJ1333" s="8"/>
      <c r="FK1333" s="8"/>
      <c r="FL1333" s="8"/>
      <c r="FM1333" s="8"/>
      <c r="FN1333" s="8"/>
      <c r="FO1333" s="8"/>
      <c r="FP1333" s="8"/>
      <c r="FQ1333" s="8"/>
      <c r="FR1333" s="8"/>
      <c r="FS1333" s="8"/>
      <c r="FT1333" s="8"/>
      <c r="FU1333" s="8"/>
      <c r="FV1333" s="8"/>
      <c r="FW1333" s="8"/>
      <c r="FX1333" s="8"/>
      <c r="FY1333" s="8"/>
      <c r="FZ1333" s="8"/>
      <c r="GA1333" s="8"/>
      <c r="GB1333" s="8"/>
      <c r="GC1333" s="8"/>
      <c r="GD1333" s="8"/>
      <c r="GE1333" s="8"/>
      <c r="GF1333" s="8"/>
      <c r="GG1333" s="8"/>
      <c r="GH1333" s="8"/>
      <c r="GI1333" s="8"/>
      <c r="GJ1333" s="8"/>
      <c r="GK1333" s="8"/>
      <c r="GL1333" s="8"/>
      <c r="GM1333" s="8"/>
      <c r="GN1333" s="8"/>
      <c r="GO1333" s="8"/>
      <c r="GP1333" s="8"/>
      <c r="GQ1333" s="8"/>
      <c r="GR1333" s="8"/>
      <c r="GS1333" s="8"/>
      <c r="GT1333" s="8"/>
      <c r="GU1333" s="8"/>
      <c r="GV1333" s="8"/>
      <c r="GW1333" s="8"/>
      <c r="GX1333" s="8"/>
      <c r="GY1333" s="8"/>
      <c r="GZ1333" s="8"/>
      <c r="HA1333" s="8"/>
      <c r="HB1333" s="8"/>
      <c r="HC1333" s="8"/>
      <c r="HD1333" s="8"/>
      <c r="HE1333" s="8"/>
      <c r="HF1333" s="8"/>
      <c r="HG1333" s="8"/>
      <c r="HH1333" s="8"/>
      <c r="HI1333" s="8"/>
      <c r="HJ1333" s="8"/>
      <c r="HK1333" s="8"/>
      <c r="HL1333" s="8"/>
      <c r="HM1333" s="8"/>
      <c r="HN1333" s="8"/>
      <c r="HO1333" s="8"/>
      <c r="HP1333" s="8"/>
      <c r="HQ1333" s="8"/>
      <c r="HR1333" s="8"/>
      <c r="HS1333" s="8"/>
      <c r="HT1333" s="8"/>
      <c r="HU1333" s="8"/>
      <c r="HV1333" s="8"/>
      <c r="HW1333" s="8"/>
      <c r="HX1333" s="8"/>
      <c r="HY1333" s="8"/>
      <c r="HZ1333" s="8"/>
      <c r="IA1333" s="8"/>
      <c r="IB1333" s="8"/>
      <c r="IC1333" s="8"/>
      <c r="ID1333" s="8"/>
      <c r="IE1333" s="8"/>
      <c r="IF1333" s="8"/>
    </row>
    <row r="1334" spans="1:240">
      <c r="A1334" s="14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8"/>
      <c r="AP1334" s="8"/>
      <c r="AQ1334" s="8"/>
      <c r="AR1334" s="8"/>
      <c r="AS1334" s="8"/>
      <c r="AT1334" s="8"/>
      <c r="AU1334" s="8"/>
      <c r="AV1334" s="8"/>
      <c r="AW1334" s="8"/>
      <c r="AX1334" s="8"/>
      <c r="AY1334" s="8"/>
      <c r="AZ1334" s="8"/>
      <c r="BA1334" s="8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8"/>
      <c r="BS1334" s="8"/>
      <c r="BT1334" s="8"/>
      <c r="BU1334" s="8"/>
      <c r="BV1334" s="8"/>
      <c r="BW1334" s="8"/>
      <c r="BX1334" s="8"/>
      <c r="BY1334" s="8"/>
      <c r="BZ1334" s="8"/>
      <c r="CA1334" s="8"/>
      <c r="CB1334" s="8"/>
      <c r="CC1334" s="8"/>
      <c r="CD1334" s="8"/>
      <c r="CE1334" s="8"/>
      <c r="CF1334" s="8"/>
      <c r="CG1334" s="8"/>
      <c r="CH1334" s="8"/>
      <c r="CI1334" s="8"/>
      <c r="CJ1334" s="8"/>
      <c r="CK1334" s="8"/>
      <c r="CL1334" s="8"/>
      <c r="CM1334" s="8"/>
      <c r="CN1334" s="8"/>
      <c r="CO1334" s="8"/>
      <c r="CP1334" s="8"/>
      <c r="CQ1334" s="8"/>
      <c r="CR1334" s="8"/>
      <c r="CS1334" s="8"/>
      <c r="CT1334" s="8"/>
      <c r="CU1334" s="8"/>
      <c r="CV1334" s="8"/>
      <c r="CW1334" s="8"/>
      <c r="CX1334" s="8"/>
      <c r="CY1334" s="8"/>
      <c r="CZ1334" s="8"/>
      <c r="DA1334" s="8"/>
      <c r="DB1334" s="8"/>
      <c r="DC1334" s="8"/>
      <c r="DD1334" s="8"/>
      <c r="DE1334" s="8"/>
      <c r="DF1334" s="8"/>
      <c r="DG1334" s="8"/>
      <c r="DH1334" s="8"/>
      <c r="DI1334" s="8"/>
      <c r="DJ1334" s="8"/>
      <c r="DK1334" s="8"/>
      <c r="DL1334" s="8"/>
      <c r="DM1334" s="8"/>
      <c r="DN1334" s="8"/>
      <c r="DO1334" s="8"/>
      <c r="DP1334" s="8"/>
      <c r="DQ1334" s="8"/>
      <c r="DR1334" s="8"/>
      <c r="DS1334" s="8"/>
      <c r="DT1334" s="8"/>
      <c r="DU1334" s="8"/>
      <c r="DV1334" s="8"/>
      <c r="DW1334" s="8"/>
      <c r="DX1334" s="8"/>
      <c r="DY1334" s="8"/>
      <c r="DZ1334" s="8"/>
      <c r="EA1334" s="8"/>
      <c r="EB1334" s="8"/>
      <c r="EC1334" s="8"/>
      <c r="ED1334" s="8"/>
      <c r="EE1334" s="8"/>
      <c r="EF1334" s="8"/>
      <c r="EG1334" s="8"/>
      <c r="EH1334" s="8"/>
      <c r="EI1334" s="8"/>
      <c r="EJ1334" s="8"/>
      <c r="EK1334" s="8"/>
      <c r="EL1334" s="8"/>
      <c r="EM1334" s="8"/>
      <c r="EN1334" s="8"/>
      <c r="EO1334" s="8"/>
      <c r="EP1334" s="8"/>
      <c r="EQ1334" s="8"/>
      <c r="ER1334" s="8"/>
      <c r="ES1334" s="8"/>
      <c r="ET1334" s="8"/>
      <c r="EU1334" s="8"/>
      <c r="EV1334" s="8"/>
      <c r="EW1334" s="8"/>
      <c r="EX1334" s="8"/>
      <c r="EY1334" s="8"/>
      <c r="EZ1334" s="8"/>
      <c r="FA1334" s="8"/>
      <c r="FB1334" s="8"/>
      <c r="FC1334" s="8"/>
      <c r="FD1334" s="8"/>
      <c r="FE1334" s="8"/>
      <c r="FF1334" s="8"/>
      <c r="FG1334" s="8"/>
      <c r="FH1334" s="8"/>
      <c r="FI1334" s="8"/>
      <c r="FJ1334" s="8"/>
      <c r="FK1334" s="8"/>
      <c r="FL1334" s="8"/>
      <c r="FM1334" s="8"/>
      <c r="FN1334" s="8"/>
      <c r="FO1334" s="8"/>
      <c r="FP1334" s="8"/>
      <c r="FQ1334" s="8"/>
      <c r="FR1334" s="8"/>
      <c r="FS1334" s="8"/>
      <c r="FT1334" s="8"/>
      <c r="FU1334" s="8"/>
      <c r="FV1334" s="8"/>
      <c r="FW1334" s="8"/>
      <c r="FX1334" s="8"/>
      <c r="FY1334" s="8"/>
      <c r="FZ1334" s="8"/>
      <c r="GA1334" s="8"/>
      <c r="GB1334" s="8"/>
      <c r="GC1334" s="8"/>
      <c r="GD1334" s="8"/>
      <c r="GE1334" s="8"/>
      <c r="GF1334" s="8"/>
      <c r="GG1334" s="8"/>
      <c r="GH1334" s="8"/>
      <c r="GI1334" s="8"/>
      <c r="GJ1334" s="8"/>
      <c r="GK1334" s="8"/>
      <c r="GL1334" s="8"/>
      <c r="GM1334" s="8"/>
      <c r="GN1334" s="8"/>
      <c r="GO1334" s="8"/>
      <c r="GP1334" s="8"/>
      <c r="GQ1334" s="8"/>
      <c r="GR1334" s="8"/>
      <c r="GS1334" s="8"/>
      <c r="GT1334" s="8"/>
      <c r="GU1334" s="8"/>
      <c r="GV1334" s="8"/>
      <c r="GW1334" s="8"/>
      <c r="GX1334" s="8"/>
      <c r="GY1334" s="8"/>
      <c r="GZ1334" s="8"/>
      <c r="HA1334" s="8"/>
      <c r="HB1334" s="8"/>
      <c r="HC1334" s="8"/>
      <c r="HD1334" s="8"/>
      <c r="HE1334" s="8"/>
      <c r="HF1334" s="8"/>
      <c r="HG1334" s="8"/>
      <c r="HH1334" s="8"/>
      <c r="HI1334" s="8"/>
      <c r="HJ1334" s="8"/>
      <c r="HK1334" s="8"/>
      <c r="HL1334" s="8"/>
      <c r="HM1334" s="8"/>
      <c r="HN1334" s="8"/>
      <c r="HO1334" s="8"/>
      <c r="HP1334" s="8"/>
      <c r="HQ1334" s="8"/>
      <c r="HR1334" s="8"/>
      <c r="HS1334" s="8"/>
      <c r="HT1334" s="8"/>
      <c r="HU1334" s="8"/>
      <c r="HV1334" s="8"/>
      <c r="HW1334" s="8"/>
      <c r="HX1334" s="8"/>
      <c r="HY1334" s="8"/>
      <c r="HZ1334" s="8"/>
      <c r="IA1334" s="8"/>
      <c r="IB1334" s="8"/>
      <c r="IC1334" s="8"/>
      <c r="ID1334" s="8"/>
      <c r="IE1334" s="8"/>
      <c r="IF1334" s="8"/>
    </row>
    <row r="1335" spans="1:240">
      <c r="A1335" s="14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8"/>
      <c r="AP1335" s="8"/>
      <c r="AQ1335" s="8"/>
      <c r="AR1335" s="8"/>
      <c r="AS1335" s="8"/>
      <c r="AT1335" s="8"/>
      <c r="AU1335" s="8"/>
      <c r="AV1335" s="8"/>
      <c r="AW1335" s="8"/>
      <c r="AX1335" s="8"/>
      <c r="AY1335" s="8"/>
      <c r="AZ1335" s="8"/>
      <c r="BA1335" s="8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8"/>
      <c r="BS1335" s="8"/>
      <c r="BT1335" s="8"/>
      <c r="BU1335" s="8"/>
      <c r="BV1335" s="8"/>
      <c r="BW1335" s="8"/>
      <c r="BX1335" s="8"/>
      <c r="BY1335" s="8"/>
      <c r="BZ1335" s="8"/>
      <c r="CA1335" s="8"/>
      <c r="CB1335" s="8"/>
      <c r="CC1335" s="8"/>
      <c r="CD1335" s="8"/>
      <c r="CE1335" s="8"/>
      <c r="CF1335" s="8"/>
      <c r="CG1335" s="8"/>
      <c r="CH1335" s="8"/>
      <c r="CI1335" s="8"/>
      <c r="CJ1335" s="8"/>
      <c r="CK1335" s="8"/>
      <c r="CL1335" s="8"/>
      <c r="CM1335" s="8"/>
      <c r="CN1335" s="8"/>
      <c r="CO1335" s="8"/>
      <c r="CP1335" s="8"/>
      <c r="CQ1335" s="8"/>
      <c r="CR1335" s="8"/>
      <c r="CS1335" s="8"/>
      <c r="CT1335" s="8"/>
      <c r="CU1335" s="8"/>
      <c r="CV1335" s="8"/>
      <c r="CW1335" s="8"/>
      <c r="CX1335" s="8"/>
      <c r="CY1335" s="8"/>
      <c r="CZ1335" s="8"/>
      <c r="DA1335" s="8"/>
      <c r="DB1335" s="8"/>
      <c r="DC1335" s="8"/>
      <c r="DD1335" s="8"/>
      <c r="DE1335" s="8"/>
      <c r="DF1335" s="8"/>
      <c r="DG1335" s="8"/>
      <c r="DH1335" s="8"/>
      <c r="DI1335" s="8"/>
      <c r="DJ1335" s="8"/>
      <c r="DK1335" s="8"/>
      <c r="DL1335" s="8"/>
      <c r="DM1335" s="8"/>
      <c r="DN1335" s="8"/>
      <c r="DO1335" s="8"/>
      <c r="DP1335" s="8"/>
      <c r="DQ1335" s="8"/>
      <c r="DR1335" s="8"/>
      <c r="DS1335" s="8"/>
      <c r="DT1335" s="8"/>
      <c r="DU1335" s="8"/>
      <c r="DV1335" s="8"/>
      <c r="DW1335" s="8"/>
      <c r="DX1335" s="8"/>
      <c r="DY1335" s="8"/>
      <c r="DZ1335" s="8"/>
      <c r="EA1335" s="8"/>
      <c r="EB1335" s="8"/>
      <c r="EC1335" s="8"/>
      <c r="ED1335" s="8"/>
      <c r="EE1335" s="8"/>
      <c r="EF1335" s="8"/>
      <c r="EG1335" s="8"/>
      <c r="EH1335" s="8"/>
      <c r="EI1335" s="8"/>
      <c r="EJ1335" s="8"/>
      <c r="EK1335" s="8"/>
      <c r="EL1335" s="8"/>
      <c r="EM1335" s="8"/>
      <c r="EN1335" s="8"/>
      <c r="EO1335" s="8"/>
      <c r="EP1335" s="8"/>
      <c r="EQ1335" s="8"/>
      <c r="ER1335" s="8"/>
      <c r="ES1335" s="8"/>
      <c r="ET1335" s="8"/>
      <c r="EU1335" s="8"/>
      <c r="EV1335" s="8"/>
      <c r="EW1335" s="8"/>
      <c r="EX1335" s="8"/>
      <c r="EY1335" s="8"/>
      <c r="EZ1335" s="8"/>
      <c r="FA1335" s="8"/>
      <c r="FB1335" s="8"/>
      <c r="FC1335" s="8"/>
      <c r="FD1335" s="8"/>
      <c r="FE1335" s="8"/>
      <c r="FF1335" s="8"/>
      <c r="FG1335" s="8"/>
      <c r="FH1335" s="8"/>
      <c r="FI1335" s="8"/>
      <c r="FJ1335" s="8"/>
      <c r="FK1335" s="8"/>
      <c r="FL1335" s="8"/>
      <c r="FM1335" s="8"/>
      <c r="FN1335" s="8"/>
      <c r="FO1335" s="8"/>
      <c r="FP1335" s="8"/>
      <c r="FQ1335" s="8"/>
      <c r="FR1335" s="8"/>
      <c r="FS1335" s="8"/>
      <c r="FT1335" s="8"/>
      <c r="FU1335" s="8"/>
      <c r="FV1335" s="8"/>
      <c r="FW1335" s="8"/>
      <c r="FX1335" s="8"/>
      <c r="FY1335" s="8"/>
      <c r="FZ1335" s="8"/>
      <c r="GA1335" s="8"/>
      <c r="GB1335" s="8"/>
      <c r="GC1335" s="8"/>
      <c r="GD1335" s="8"/>
      <c r="GE1335" s="8"/>
      <c r="GF1335" s="8"/>
      <c r="GG1335" s="8"/>
      <c r="GH1335" s="8"/>
      <c r="GI1335" s="8"/>
      <c r="GJ1335" s="8"/>
      <c r="GK1335" s="8"/>
      <c r="GL1335" s="8"/>
      <c r="GM1335" s="8"/>
      <c r="GN1335" s="8"/>
      <c r="GO1335" s="8"/>
      <c r="GP1335" s="8"/>
      <c r="GQ1335" s="8"/>
      <c r="GR1335" s="8"/>
      <c r="GS1335" s="8"/>
      <c r="GT1335" s="8"/>
      <c r="GU1335" s="8"/>
      <c r="GV1335" s="8"/>
      <c r="GW1335" s="8"/>
      <c r="GX1335" s="8"/>
      <c r="GY1335" s="8"/>
      <c r="GZ1335" s="8"/>
      <c r="HA1335" s="8"/>
      <c r="HB1335" s="8"/>
      <c r="HC1335" s="8"/>
      <c r="HD1335" s="8"/>
      <c r="HE1335" s="8"/>
      <c r="HF1335" s="8"/>
      <c r="HG1335" s="8"/>
      <c r="HH1335" s="8"/>
      <c r="HI1335" s="8"/>
      <c r="HJ1335" s="8"/>
      <c r="HK1335" s="8"/>
      <c r="HL1335" s="8"/>
      <c r="HM1335" s="8"/>
      <c r="HN1335" s="8"/>
      <c r="HO1335" s="8"/>
      <c r="HP1335" s="8"/>
      <c r="HQ1335" s="8"/>
      <c r="HR1335" s="8"/>
      <c r="HS1335" s="8"/>
      <c r="HT1335" s="8"/>
      <c r="HU1335" s="8"/>
      <c r="HV1335" s="8"/>
      <c r="HW1335" s="8"/>
      <c r="HX1335" s="8"/>
      <c r="HY1335" s="8"/>
      <c r="HZ1335" s="8"/>
      <c r="IA1335" s="8"/>
      <c r="IB1335" s="8"/>
      <c r="IC1335" s="8"/>
      <c r="ID1335" s="8"/>
      <c r="IE1335" s="8"/>
      <c r="IF1335" s="8"/>
    </row>
    <row r="1336" spans="1:240">
      <c r="A1336" s="14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8"/>
      <c r="AP1336" s="8"/>
      <c r="AQ1336" s="8"/>
      <c r="AR1336" s="8"/>
      <c r="AS1336" s="8"/>
      <c r="AT1336" s="8"/>
      <c r="AU1336" s="8"/>
      <c r="AV1336" s="8"/>
      <c r="AW1336" s="8"/>
      <c r="AX1336" s="8"/>
      <c r="AY1336" s="8"/>
      <c r="AZ1336" s="8"/>
      <c r="BA1336" s="8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8"/>
      <c r="BS1336" s="8"/>
      <c r="BT1336" s="8"/>
      <c r="BU1336" s="8"/>
      <c r="BV1336" s="8"/>
      <c r="BW1336" s="8"/>
      <c r="BX1336" s="8"/>
      <c r="BY1336" s="8"/>
      <c r="BZ1336" s="8"/>
      <c r="CA1336" s="8"/>
      <c r="CB1336" s="8"/>
      <c r="CC1336" s="8"/>
      <c r="CD1336" s="8"/>
      <c r="CE1336" s="8"/>
      <c r="CF1336" s="8"/>
      <c r="CG1336" s="8"/>
      <c r="CH1336" s="8"/>
      <c r="CI1336" s="8"/>
      <c r="CJ1336" s="8"/>
      <c r="CK1336" s="8"/>
      <c r="CL1336" s="8"/>
      <c r="CM1336" s="8"/>
      <c r="CN1336" s="8"/>
      <c r="CO1336" s="8"/>
      <c r="CP1336" s="8"/>
      <c r="CQ1336" s="8"/>
      <c r="CR1336" s="8"/>
      <c r="CS1336" s="8"/>
      <c r="CT1336" s="8"/>
      <c r="CU1336" s="8"/>
      <c r="CV1336" s="8"/>
      <c r="CW1336" s="8"/>
      <c r="CX1336" s="8"/>
      <c r="CY1336" s="8"/>
      <c r="CZ1336" s="8"/>
      <c r="DA1336" s="8"/>
      <c r="DB1336" s="8"/>
      <c r="DC1336" s="8"/>
      <c r="DD1336" s="8"/>
      <c r="DE1336" s="8"/>
      <c r="DF1336" s="8"/>
      <c r="DG1336" s="8"/>
      <c r="DH1336" s="8"/>
      <c r="DI1336" s="8"/>
      <c r="DJ1336" s="8"/>
      <c r="DK1336" s="8"/>
      <c r="DL1336" s="8"/>
      <c r="DM1336" s="8"/>
      <c r="DN1336" s="8"/>
      <c r="DO1336" s="8"/>
      <c r="DP1336" s="8"/>
      <c r="DQ1336" s="8"/>
      <c r="DR1336" s="8"/>
      <c r="DS1336" s="8"/>
      <c r="DT1336" s="8"/>
      <c r="DU1336" s="8"/>
      <c r="DV1336" s="8"/>
      <c r="DW1336" s="8"/>
      <c r="DX1336" s="8"/>
      <c r="DY1336" s="8"/>
      <c r="DZ1336" s="8"/>
      <c r="EA1336" s="8"/>
      <c r="EB1336" s="8"/>
      <c r="EC1336" s="8"/>
      <c r="ED1336" s="8"/>
      <c r="EE1336" s="8"/>
      <c r="EF1336" s="8"/>
      <c r="EG1336" s="8"/>
      <c r="EH1336" s="8"/>
      <c r="EI1336" s="8"/>
      <c r="EJ1336" s="8"/>
      <c r="EK1336" s="8"/>
      <c r="EL1336" s="8"/>
      <c r="EM1336" s="8"/>
      <c r="EN1336" s="8"/>
      <c r="EO1336" s="8"/>
      <c r="EP1336" s="8"/>
      <c r="EQ1336" s="8"/>
      <c r="ER1336" s="8"/>
      <c r="ES1336" s="8"/>
      <c r="ET1336" s="8"/>
      <c r="EU1336" s="8"/>
      <c r="EV1336" s="8"/>
      <c r="EW1336" s="8"/>
      <c r="EX1336" s="8"/>
      <c r="EY1336" s="8"/>
      <c r="EZ1336" s="8"/>
      <c r="FA1336" s="8"/>
      <c r="FB1336" s="8"/>
      <c r="FC1336" s="8"/>
      <c r="FD1336" s="8"/>
      <c r="FE1336" s="8"/>
      <c r="FF1336" s="8"/>
      <c r="FG1336" s="8"/>
      <c r="FH1336" s="8"/>
      <c r="FI1336" s="8"/>
      <c r="FJ1336" s="8"/>
      <c r="FK1336" s="8"/>
      <c r="FL1336" s="8"/>
      <c r="FM1336" s="8"/>
      <c r="FN1336" s="8"/>
      <c r="FO1336" s="8"/>
      <c r="FP1336" s="8"/>
      <c r="FQ1336" s="8"/>
      <c r="FR1336" s="8"/>
      <c r="FS1336" s="8"/>
      <c r="FT1336" s="8"/>
      <c r="FU1336" s="8"/>
      <c r="FV1336" s="8"/>
      <c r="FW1336" s="8"/>
      <c r="FX1336" s="8"/>
      <c r="FY1336" s="8"/>
      <c r="FZ1336" s="8"/>
      <c r="GA1336" s="8"/>
      <c r="GB1336" s="8"/>
      <c r="GC1336" s="8"/>
      <c r="GD1336" s="8"/>
      <c r="GE1336" s="8"/>
      <c r="GF1336" s="8"/>
      <c r="GG1336" s="8"/>
      <c r="GH1336" s="8"/>
      <c r="GI1336" s="8"/>
      <c r="GJ1336" s="8"/>
      <c r="GK1336" s="8"/>
      <c r="GL1336" s="8"/>
      <c r="GM1336" s="8"/>
      <c r="GN1336" s="8"/>
      <c r="GO1336" s="8"/>
      <c r="GP1336" s="8"/>
      <c r="GQ1336" s="8"/>
      <c r="GR1336" s="8"/>
      <c r="GS1336" s="8"/>
      <c r="GT1336" s="8"/>
      <c r="GU1336" s="8"/>
      <c r="GV1336" s="8"/>
      <c r="GW1336" s="8"/>
      <c r="GX1336" s="8"/>
      <c r="GY1336" s="8"/>
      <c r="GZ1336" s="8"/>
      <c r="HA1336" s="8"/>
      <c r="HB1336" s="8"/>
      <c r="HC1336" s="8"/>
      <c r="HD1336" s="8"/>
      <c r="HE1336" s="8"/>
      <c r="HF1336" s="8"/>
      <c r="HG1336" s="8"/>
      <c r="HH1336" s="8"/>
      <c r="HI1336" s="8"/>
      <c r="HJ1336" s="8"/>
      <c r="HK1336" s="8"/>
      <c r="HL1336" s="8"/>
      <c r="HM1336" s="8"/>
      <c r="HN1336" s="8"/>
      <c r="HO1336" s="8"/>
      <c r="HP1336" s="8"/>
      <c r="HQ1336" s="8"/>
      <c r="HR1336" s="8"/>
      <c r="HS1336" s="8"/>
      <c r="HT1336" s="8"/>
      <c r="HU1336" s="8"/>
      <c r="HV1336" s="8"/>
      <c r="HW1336" s="8"/>
      <c r="HX1336" s="8"/>
      <c r="HY1336" s="8"/>
      <c r="HZ1336" s="8"/>
      <c r="IA1336" s="8"/>
      <c r="IB1336" s="8"/>
      <c r="IC1336" s="8"/>
      <c r="ID1336" s="8"/>
      <c r="IE1336" s="8"/>
      <c r="IF1336" s="8"/>
    </row>
    <row r="1337" spans="1:240">
      <c r="A1337" s="14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8"/>
      <c r="AP1337" s="8"/>
      <c r="AQ1337" s="8"/>
      <c r="AR1337" s="8"/>
      <c r="AS1337" s="8"/>
      <c r="AT1337" s="8"/>
      <c r="AU1337" s="8"/>
      <c r="AV1337" s="8"/>
      <c r="AW1337" s="8"/>
      <c r="AX1337" s="8"/>
      <c r="AY1337" s="8"/>
      <c r="AZ1337" s="8"/>
      <c r="BA1337" s="8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8"/>
      <c r="BS1337" s="8"/>
      <c r="BT1337" s="8"/>
      <c r="BU1337" s="8"/>
      <c r="BV1337" s="8"/>
      <c r="BW1337" s="8"/>
      <c r="BX1337" s="8"/>
      <c r="BY1337" s="8"/>
      <c r="BZ1337" s="8"/>
      <c r="CA1337" s="8"/>
      <c r="CB1337" s="8"/>
      <c r="CC1337" s="8"/>
      <c r="CD1337" s="8"/>
      <c r="CE1337" s="8"/>
      <c r="CF1337" s="8"/>
      <c r="CG1337" s="8"/>
      <c r="CH1337" s="8"/>
      <c r="CI1337" s="8"/>
      <c r="CJ1337" s="8"/>
      <c r="CK1337" s="8"/>
      <c r="CL1337" s="8"/>
      <c r="CM1337" s="8"/>
      <c r="CN1337" s="8"/>
      <c r="CO1337" s="8"/>
      <c r="CP1337" s="8"/>
      <c r="CQ1337" s="8"/>
      <c r="CR1337" s="8"/>
      <c r="CS1337" s="8"/>
      <c r="CT1337" s="8"/>
      <c r="CU1337" s="8"/>
      <c r="CV1337" s="8"/>
      <c r="CW1337" s="8"/>
      <c r="CX1337" s="8"/>
      <c r="CY1337" s="8"/>
      <c r="CZ1337" s="8"/>
      <c r="DA1337" s="8"/>
      <c r="DB1337" s="8"/>
      <c r="DC1337" s="8"/>
      <c r="DD1337" s="8"/>
      <c r="DE1337" s="8"/>
      <c r="DF1337" s="8"/>
      <c r="DG1337" s="8"/>
      <c r="DH1337" s="8"/>
      <c r="DI1337" s="8"/>
      <c r="DJ1337" s="8"/>
      <c r="DK1337" s="8"/>
      <c r="DL1337" s="8"/>
      <c r="DM1337" s="8"/>
      <c r="DN1337" s="8"/>
      <c r="DO1337" s="8"/>
      <c r="DP1337" s="8"/>
      <c r="DQ1337" s="8"/>
      <c r="DR1337" s="8"/>
      <c r="DS1337" s="8"/>
      <c r="DT1337" s="8"/>
      <c r="DU1337" s="8"/>
      <c r="DV1337" s="8"/>
      <c r="DW1337" s="8"/>
      <c r="DX1337" s="8"/>
      <c r="DY1337" s="8"/>
      <c r="DZ1337" s="8"/>
      <c r="EA1337" s="8"/>
      <c r="EB1337" s="8"/>
      <c r="EC1337" s="8"/>
      <c r="ED1337" s="8"/>
      <c r="EE1337" s="8"/>
      <c r="EF1337" s="8"/>
      <c r="EG1337" s="8"/>
      <c r="EH1337" s="8"/>
      <c r="EI1337" s="8"/>
      <c r="EJ1337" s="8"/>
      <c r="EK1337" s="8"/>
      <c r="EL1337" s="8"/>
      <c r="EM1337" s="8"/>
      <c r="EN1337" s="8"/>
      <c r="EO1337" s="8"/>
      <c r="EP1337" s="8"/>
      <c r="EQ1337" s="8"/>
      <c r="ER1337" s="8"/>
      <c r="ES1337" s="8"/>
      <c r="ET1337" s="8"/>
      <c r="EU1337" s="8"/>
      <c r="EV1337" s="8"/>
      <c r="EW1337" s="8"/>
      <c r="EX1337" s="8"/>
      <c r="EY1337" s="8"/>
      <c r="EZ1337" s="8"/>
      <c r="FA1337" s="8"/>
      <c r="FB1337" s="8"/>
      <c r="FC1337" s="8"/>
      <c r="FD1337" s="8"/>
      <c r="FE1337" s="8"/>
      <c r="FF1337" s="8"/>
      <c r="FG1337" s="8"/>
      <c r="FH1337" s="8"/>
      <c r="FI1337" s="8"/>
      <c r="FJ1337" s="8"/>
      <c r="FK1337" s="8"/>
      <c r="FL1337" s="8"/>
      <c r="FM1337" s="8"/>
      <c r="FN1337" s="8"/>
      <c r="FO1337" s="8"/>
      <c r="FP1337" s="8"/>
      <c r="FQ1337" s="8"/>
      <c r="FR1337" s="8"/>
      <c r="FS1337" s="8"/>
      <c r="FT1337" s="8"/>
      <c r="FU1337" s="8"/>
      <c r="FV1337" s="8"/>
      <c r="FW1337" s="8"/>
      <c r="FX1337" s="8"/>
      <c r="FY1337" s="8"/>
      <c r="FZ1337" s="8"/>
      <c r="GA1337" s="8"/>
      <c r="GB1337" s="8"/>
      <c r="GC1337" s="8"/>
      <c r="GD1337" s="8"/>
      <c r="GE1337" s="8"/>
      <c r="GF1337" s="8"/>
      <c r="GG1337" s="8"/>
      <c r="GH1337" s="8"/>
      <c r="GI1337" s="8"/>
      <c r="GJ1337" s="8"/>
      <c r="GK1337" s="8"/>
      <c r="GL1337" s="8"/>
      <c r="GM1337" s="8"/>
      <c r="GN1337" s="8"/>
      <c r="GO1337" s="8"/>
      <c r="GP1337" s="8"/>
      <c r="GQ1337" s="8"/>
      <c r="GR1337" s="8"/>
      <c r="GS1337" s="8"/>
      <c r="GT1337" s="8"/>
      <c r="GU1337" s="8"/>
      <c r="GV1337" s="8"/>
      <c r="GW1337" s="8"/>
      <c r="GX1337" s="8"/>
      <c r="GY1337" s="8"/>
      <c r="GZ1337" s="8"/>
      <c r="HA1337" s="8"/>
      <c r="HB1337" s="8"/>
      <c r="HC1337" s="8"/>
      <c r="HD1337" s="8"/>
      <c r="HE1337" s="8"/>
      <c r="HF1337" s="8"/>
      <c r="HG1337" s="8"/>
      <c r="HH1337" s="8"/>
      <c r="HI1337" s="8"/>
      <c r="HJ1337" s="8"/>
      <c r="HK1337" s="8"/>
      <c r="HL1337" s="8"/>
      <c r="HM1337" s="8"/>
      <c r="HN1337" s="8"/>
      <c r="HO1337" s="8"/>
      <c r="HP1337" s="8"/>
      <c r="HQ1337" s="8"/>
      <c r="HR1337" s="8"/>
      <c r="HS1337" s="8"/>
      <c r="HT1337" s="8"/>
      <c r="HU1337" s="8"/>
      <c r="HV1337" s="8"/>
      <c r="HW1337" s="8"/>
      <c r="HX1337" s="8"/>
      <c r="HY1337" s="8"/>
      <c r="HZ1337" s="8"/>
      <c r="IA1337" s="8"/>
      <c r="IB1337" s="8"/>
      <c r="IC1337" s="8"/>
      <c r="ID1337" s="8"/>
      <c r="IE1337" s="8"/>
      <c r="IF1337" s="8"/>
    </row>
    <row r="1338" spans="1:240">
      <c r="A1338" s="14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8"/>
      <c r="AP1338" s="8"/>
      <c r="AQ1338" s="8"/>
      <c r="AR1338" s="8"/>
      <c r="AS1338" s="8"/>
      <c r="AT1338" s="8"/>
      <c r="AU1338" s="8"/>
      <c r="AV1338" s="8"/>
      <c r="AW1338" s="8"/>
      <c r="AX1338" s="8"/>
      <c r="AY1338" s="8"/>
      <c r="AZ1338" s="8"/>
      <c r="BA1338" s="8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8"/>
      <c r="BS1338" s="8"/>
      <c r="BT1338" s="8"/>
      <c r="BU1338" s="8"/>
      <c r="BV1338" s="8"/>
      <c r="BW1338" s="8"/>
      <c r="BX1338" s="8"/>
      <c r="BY1338" s="8"/>
      <c r="BZ1338" s="8"/>
      <c r="CA1338" s="8"/>
      <c r="CB1338" s="8"/>
      <c r="CC1338" s="8"/>
      <c r="CD1338" s="8"/>
      <c r="CE1338" s="8"/>
      <c r="CF1338" s="8"/>
      <c r="CG1338" s="8"/>
      <c r="CH1338" s="8"/>
      <c r="CI1338" s="8"/>
      <c r="CJ1338" s="8"/>
      <c r="CK1338" s="8"/>
      <c r="CL1338" s="8"/>
      <c r="CM1338" s="8"/>
      <c r="CN1338" s="8"/>
      <c r="CO1338" s="8"/>
      <c r="CP1338" s="8"/>
      <c r="CQ1338" s="8"/>
      <c r="CR1338" s="8"/>
      <c r="CS1338" s="8"/>
      <c r="CT1338" s="8"/>
      <c r="CU1338" s="8"/>
      <c r="CV1338" s="8"/>
      <c r="CW1338" s="8"/>
      <c r="CX1338" s="8"/>
      <c r="CY1338" s="8"/>
      <c r="CZ1338" s="8"/>
      <c r="DA1338" s="8"/>
      <c r="DB1338" s="8"/>
      <c r="DC1338" s="8"/>
      <c r="DD1338" s="8"/>
      <c r="DE1338" s="8"/>
      <c r="DF1338" s="8"/>
      <c r="DG1338" s="8"/>
      <c r="DH1338" s="8"/>
      <c r="DI1338" s="8"/>
      <c r="DJ1338" s="8"/>
      <c r="DK1338" s="8"/>
      <c r="DL1338" s="8"/>
      <c r="DM1338" s="8"/>
      <c r="DN1338" s="8"/>
      <c r="DO1338" s="8"/>
      <c r="DP1338" s="8"/>
      <c r="DQ1338" s="8"/>
      <c r="DR1338" s="8"/>
      <c r="DS1338" s="8"/>
      <c r="DT1338" s="8"/>
      <c r="DU1338" s="8"/>
      <c r="DV1338" s="8"/>
      <c r="DW1338" s="8"/>
      <c r="DX1338" s="8"/>
      <c r="DY1338" s="8"/>
      <c r="DZ1338" s="8"/>
      <c r="EA1338" s="8"/>
      <c r="EB1338" s="8"/>
      <c r="EC1338" s="8"/>
      <c r="ED1338" s="8"/>
      <c r="EE1338" s="8"/>
      <c r="EF1338" s="8"/>
      <c r="EG1338" s="8"/>
      <c r="EH1338" s="8"/>
      <c r="EI1338" s="8"/>
      <c r="EJ1338" s="8"/>
      <c r="EK1338" s="8"/>
      <c r="EL1338" s="8"/>
      <c r="EM1338" s="8"/>
      <c r="EN1338" s="8"/>
      <c r="EO1338" s="8"/>
      <c r="EP1338" s="8"/>
      <c r="EQ1338" s="8"/>
      <c r="ER1338" s="8"/>
      <c r="ES1338" s="8"/>
      <c r="ET1338" s="8"/>
      <c r="EU1338" s="8"/>
      <c r="EV1338" s="8"/>
      <c r="EW1338" s="8"/>
      <c r="EX1338" s="8"/>
      <c r="EY1338" s="8"/>
      <c r="EZ1338" s="8"/>
      <c r="FA1338" s="8"/>
      <c r="FB1338" s="8"/>
      <c r="FC1338" s="8"/>
      <c r="FD1338" s="8"/>
      <c r="FE1338" s="8"/>
      <c r="FF1338" s="8"/>
      <c r="FG1338" s="8"/>
      <c r="FH1338" s="8"/>
      <c r="FI1338" s="8"/>
      <c r="FJ1338" s="8"/>
      <c r="FK1338" s="8"/>
      <c r="FL1338" s="8"/>
      <c r="FM1338" s="8"/>
      <c r="FN1338" s="8"/>
      <c r="FO1338" s="8"/>
      <c r="FP1338" s="8"/>
      <c r="FQ1338" s="8"/>
      <c r="FR1338" s="8"/>
      <c r="FS1338" s="8"/>
      <c r="FT1338" s="8"/>
      <c r="FU1338" s="8"/>
      <c r="FV1338" s="8"/>
      <c r="FW1338" s="8"/>
      <c r="FX1338" s="8"/>
      <c r="FY1338" s="8"/>
      <c r="FZ1338" s="8"/>
      <c r="GA1338" s="8"/>
      <c r="GB1338" s="8"/>
      <c r="GC1338" s="8"/>
      <c r="GD1338" s="8"/>
      <c r="GE1338" s="8"/>
      <c r="GF1338" s="8"/>
      <c r="GG1338" s="8"/>
      <c r="GH1338" s="8"/>
      <c r="GI1338" s="8"/>
      <c r="GJ1338" s="8"/>
      <c r="GK1338" s="8"/>
      <c r="GL1338" s="8"/>
      <c r="GM1338" s="8"/>
      <c r="GN1338" s="8"/>
      <c r="GO1338" s="8"/>
      <c r="GP1338" s="8"/>
      <c r="GQ1338" s="8"/>
      <c r="GR1338" s="8"/>
      <c r="GS1338" s="8"/>
      <c r="GT1338" s="8"/>
      <c r="GU1338" s="8"/>
      <c r="GV1338" s="8"/>
      <c r="GW1338" s="8"/>
      <c r="GX1338" s="8"/>
      <c r="GY1338" s="8"/>
      <c r="GZ1338" s="8"/>
      <c r="HA1338" s="8"/>
      <c r="HB1338" s="8"/>
      <c r="HC1338" s="8"/>
      <c r="HD1338" s="8"/>
      <c r="HE1338" s="8"/>
      <c r="HF1338" s="8"/>
      <c r="HG1338" s="8"/>
      <c r="HH1338" s="8"/>
      <c r="HI1338" s="8"/>
      <c r="HJ1338" s="8"/>
      <c r="HK1338" s="8"/>
      <c r="HL1338" s="8"/>
      <c r="HM1338" s="8"/>
      <c r="HN1338" s="8"/>
      <c r="HO1338" s="8"/>
      <c r="HP1338" s="8"/>
      <c r="HQ1338" s="8"/>
      <c r="HR1338" s="8"/>
      <c r="HS1338" s="8"/>
      <c r="HT1338" s="8"/>
      <c r="HU1338" s="8"/>
      <c r="HV1338" s="8"/>
      <c r="HW1338" s="8"/>
      <c r="HX1338" s="8"/>
      <c r="HY1338" s="8"/>
      <c r="HZ1338" s="8"/>
      <c r="IA1338" s="8"/>
      <c r="IB1338" s="8"/>
      <c r="IC1338" s="8"/>
      <c r="ID1338" s="8"/>
      <c r="IE1338" s="8"/>
      <c r="IF1338" s="8"/>
    </row>
    <row r="1339" spans="1:240">
      <c r="A1339" s="14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8"/>
      <c r="AP1339" s="8"/>
      <c r="AQ1339" s="8"/>
      <c r="AR1339" s="8"/>
      <c r="AS1339" s="8"/>
      <c r="AT1339" s="8"/>
      <c r="AU1339" s="8"/>
      <c r="AV1339" s="8"/>
      <c r="AW1339" s="8"/>
      <c r="AX1339" s="8"/>
      <c r="AY1339" s="8"/>
      <c r="AZ1339" s="8"/>
      <c r="BA1339" s="8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8"/>
      <c r="BS1339" s="8"/>
      <c r="BT1339" s="8"/>
      <c r="BU1339" s="8"/>
      <c r="BV1339" s="8"/>
      <c r="BW1339" s="8"/>
      <c r="BX1339" s="8"/>
      <c r="BY1339" s="8"/>
      <c r="BZ1339" s="8"/>
      <c r="CA1339" s="8"/>
      <c r="CB1339" s="8"/>
      <c r="CC1339" s="8"/>
      <c r="CD1339" s="8"/>
      <c r="CE1339" s="8"/>
      <c r="CF1339" s="8"/>
      <c r="CG1339" s="8"/>
      <c r="CH1339" s="8"/>
      <c r="CI1339" s="8"/>
      <c r="CJ1339" s="8"/>
      <c r="CK1339" s="8"/>
      <c r="CL1339" s="8"/>
      <c r="CM1339" s="8"/>
      <c r="CN1339" s="8"/>
      <c r="CO1339" s="8"/>
      <c r="CP1339" s="8"/>
      <c r="CQ1339" s="8"/>
      <c r="CR1339" s="8"/>
      <c r="CS1339" s="8"/>
      <c r="CT1339" s="8"/>
      <c r="CU1339" s="8"/>
      <c r="CV1339" s="8"/>
      <c r="CW1339" s="8"/>
      <c r="CX1339" s="8"/>
      <c r="CY1339" s="8"/>
      <c r="CZ1339" s="8"/>
      <c r="DA1339" s="8"/>
      <c r="DB1339" s="8"/>
      <c r="DC1339" s="8"/>
      <c r="DD1339" s="8"/>
      <c r="DE1339" s="8"/>
      <c r="DF1339" s="8"/>
      <c r="DG1339" s="8"/>
      <c r="DH1339" s="8"/>
      <c r="DI1339" s="8"/>
      <c r="DJ1339" s="8"/>
      <c r="DK1339" s="8"/>
      <c r="DL1339" s="8"/>
      <c r="DM1339" s="8"/>
      <c r="DN1339" s="8"/>
      <c r="DO1339" s="8"/>
      <c r="DP1339" s="8"/>
      <c r="DQ1339" s="8"/>
      <c r="DR1339" s="8"/>
      <c r="DS1339" s="8"/>
      <c r="DT1339" s="8"/>
      <c r="DU1339" s="8"/>
      <c r="DV1339" s="8"/>
      <c r="DW1339" s="8"/>
      <c r="DX1339" s="8"/>
      <c r="DY1339" s="8"/>
      <c r="DZ1339" s="8"/>
      <c r="EA1339" s="8"/>
      <c r="EB1339" s="8"/>
      <c r="EC1339" s="8"/>
      <c r="ED1339" s="8"/>
      <c r="EE1339" s="8"/>
      <c r="EF1339" s="8"/>
      <c r="EG1339" s="8"/>
      <c r="EH1339" s="8"/>
      <c r="EI1339" s="8"/>
      <c r="EJ1339" s="8"/>
      <c r="EK1339" s="8"/>
      <c r="EL1339" s="8"/>
      <c r="EM1339" s="8"/>
      <c r="EN1339" s="8"/>
      <c r="EO1339" s="8"/>
      <c r="EP1339" s="8"/>
      <c r="EQ1339" s="8"/>
      <c r="ER1339" s="8"/>
      <c r="ES1339" s="8"/>
      <c r="ET1339" s="8"/>
      <c r="EU1339" s="8"/>
      <c r="EV1339" s="8"/>
      <c r="EW1339" s="8"/>
      <c r="EX1339" s="8"/>
      <c r="EY1339" s="8"/>
      <c r="EZ1339" s="8"/>
      <c r="FA1339" s="8"/>
      <c r="FB1339" s="8"/>
      <c r="FC1339" s="8"/>
      <c r="FD1339" s="8"/>
      <c r="FE1339" s="8"/>
      <c r="FF1339" s="8"/>
      <c r="FG1339" s="8"/>
      <c r="FH1339" s="8"/>
      <c r="FI1339" s="8"/>
      <c r="FJ1339" s="8"/>
      <c r="FK1339" s="8"/>
      <c r="FL1339" s="8"/>
      <c r="FM1339" s="8"/>
      <c r="FN1339" s="8"/>
      <c r="FO1339" s="8"/>
      <c r="FP1339" s="8"/>
      <c r="FQ1339" s="8"/>
      <c r="FR1339" s="8"/>
      <c r="FS1339" s="8"/>
      <c r="FT1339" s="8"/>
      <c r="FU1339" s="8"/>
      <c r="FV1339" s="8"/>
      <c r="FW1339" s="8"/>
      <c r="FX1339" s="8"/>
      <c r="FY1339" s="8"/>
      <c r="FZ1339" s="8"/>
      <c r="GA1339" s="8"/>
      <c r="GB1339" s="8"/>
      <c r="GC1339" s="8"/>
      <c r="GD1339" s="8"/>
      <c r="GE1339" s="8"/>
      <c r="GF1339" s="8"/>
      <c r="GG1339" s="8"/>
      <c r="GH1339" s="8"/>
      <c r="GI1339" s="8"/>
      <c r="GJ1339" s="8"/>
      <c r="GK1339" s="8"/>
      <c r="GL1339" s="8"/>
      <c r="GM1339" s="8"/>
      <c r="GN1339" s="8"/>
      <c r="GO1339" s="8"/>
      <c r="GP1339" s="8"/>
      <c r="GQ1339" s="8"/>
      <c r="GR1339" s="8"/>
      <c r="GS1339" s="8"/>
      <c r="GT1339" s="8"/>
      <c r="GU1339" s="8"/>
      <c r="GV1339" s="8"/>
      <c r="GW1339" s="8"/>
      <c r="GX1339" s="8"/>
      <c r="GY1339" s="8"/>
      <c r="GZ1339" s="8"/>
      <c r="HA1339" s="8"/>
      <c r="HB1339" s="8"/>
      <c r="HC1339" s="8"/>
      <c r="HD1339" s="8"/>
      <c r="HE1339" s="8"/>
      <c r="HF1339" s="8"/>
      <c r="HG1339" s="8"/>
      <c r="HH1339" s="8"/>
      <c r="HI1339" s="8"/>
      <c r="HJ1339" s="8"/>
      <c r="HK1339" s="8"/>
      <c r="HL1339" s="8"/>
      <c r="HM1339" s="8"/>
      <c r="HN1339" s="8"/>
      <c r="HO1339" s="8"/>
      <c r="HP1339" s="8"/>
      <c r="HQ1339" s="8"/>
      <c r="HR1339" s="8"/>
      <c r="HS1339" s="8"/>
      <c r="HT1339" s="8"/>
      <c r="HU1339" s="8"/>
      <c r="HV1339" s="8"/>
      <c r="HW1339" s="8"/>
      <c r="HX1339" s="8"/>
      <c r="HY1339" s="8"/>
      <c r="HZ1339" s="8"/>
      <c r="IA1339" s="8"/>
      <c r="IB1339" s="8"/>
      <c r="IC1339" s="8"/>
      <c r="ID1339" s="8"/>
      <c r="IE1339" s="8"/>
      <c r="IF1339" s="8"/>
    </row>
    <row r="1340" spans="1:240">
      <c r="A1340" s="14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8"/>
      <c r="AP1340" s="8"/>
      <c r="AQ1340" s="8"/>
      <c r="AR1340" s="8"/>
      <c r="AS1340" s="8"/>
      <c r="AT1340" s="8"/>
      <c r="AU1340" s="8"/>
      <c r="AV1340" s="8"/>
      <c r="AW1340" s="8"/>
      <c r="AX1340" s="8"/>
      <c r="AY1340" s="8"/>
      <c r="AZ1340" s="8"/>
      <c r="BA1340" s="8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8"/>
      <c r="BS1340" s="8"/>
      <c r="BT1340" s="8"/>
      <c r="BU1340" s="8"/>
      <c r="BV1340" s="8"/>
      <c r="BW1340" s="8"/>
      <c r="BX1340" s="8"/>
      <c r="BY1340" s="8"/>
      <c r="BZ1340" s="8"/>
      <c r="CA1340" s="8"/>
      <c r="CB1340" s="8"/>
      <c r="CC1340" s="8"/>
      <c r="CD1340" s="8"/>
      <c r="CE1340" s="8"/>
      <c r="CF1340" s="8"/>
      <c r="CG1340" s="8"/>
      <c r="CH1340" s="8"/>
      <c r="CI1340" s="8"/>
      <c r="CJ1340" s="8"/>
      <c r="CK1340" s="8"/>
      <c r="CL1340" s="8"/>
      <c r="CM1340" s="8"/>
      <c r="CN1340" s="8"/>
      <c r="CO1340" s="8"/>
      <c r="CP1340" s="8"/>
      <c r="CQ1340" s="8"/>
      <c r="CR1340" s="8"/>
      <c r="CS1340" s="8"/>
      <c r="CT1340" s="8"/>
      <c r="CU1340" s="8"/>
      <c r="CV1340" s="8"/>
      <c r="CW1340" s="8"/>
      <c r="CX1340" s="8"/>
      <c r="CY1340" s="8"/>
      <c r="CZ1340" s="8"/>
      <c r="DA1340" s="8"/>
      <c r="DB1340" s="8"/>
      <c r="DC1340" s="8"/>
      <c r="DD1340" s="8"/>
      <c r="DE1340" s="8"/>
      <c r="DF1340" s="8"/>
      <c r="DG1340" s="8"/>
      <c r="DH1340" s="8"/>
      <c r="DI1340" s="8"/>
      <c r="DJ1340" s="8"/>
      <c r="DK1340" s="8"/>
      <c r="DL1340" s="8"/>
      <c r="DM1340" s="8"/>
      <c r="DN1340" s="8"/>
      <c r="DO1340" s="8"/>
      <c r="DP1340" s="8"/>
      <c r="DQ1340" s="8"/>
      <c r="DR1340" s="8"/>
      <c r="DS1340" s="8"/>
      <c r="DT1340" s="8"/>
      <c r="DU1340" s="8"/>
      <c r="DV1340" s="8"/>
      <c r="DW1340" s="8"/>
      <c r="DX1340" s="8"/>
      <c r="DY1340" s="8"/>
      <c r="DZ1340" s="8"/>
      <c r="EA1340" s="8"/>
      <c r="EB1340" s="8"/>
      <c r="EC1340" s="8"/>
      <c r="ED1340" s="8"/>
      <c r="EE1340" s="8"/>
      <c r="EF1340" s="8"/>
      <c r="EG1340" s="8"/>
      <c r="EH1340" s="8"/>
      <c r="EI1340" s="8"/>
      <c r="EJ1340" s="8"/>
      <c r="EK1340" s="8"/>
      <c r="EL1340" s="8"/>
      <c r="EM1340" s="8"/>
      <c r="EN1340" s="8"/>
      <c r="EO1340" s="8"/>
      <c r="EP1340" s="8"/>
      <c r="EQ1340" s="8"/>
      <c r="ER1340" s="8"/>
      <c r="ES1340" s="8"/>
      <c r="ET1340" s="8"/>
      <c r="EU1340" s="8"/>
      <c r="EV1340" s="8"/>
      <c r="EW1340" s="8"/>
      <c r="EX1340" s="8"/>
      <c r="EY1340" s="8"/>
      <c r="EZ1340" s="8"/>
      <c r="FA1340" s="8"/>
      <c r="FB1340" s="8"/>
      <c r="FC1340" s="8"/>
      <c r="FD1340" s="8"/>
      <c r="FE1340" s="8"/>
      <c r="FF1340" s="8"/>
      <c r="FG1340" s="8"/>
      <c r="FH1340" s="8"/>
      <c r="FI1340" s="8"/>
      <c r="FJ1340" s="8"/>
      <c r="FK1340" s="8"/>
      <c r="FL1340" s="8"/>
      <c r="FM1340" s="8"/>
      <c r="FN1340" s="8"/>
      <c r="FO1340" s="8"/>
      <c r="FP1340" s="8"/>
      <c r="FQ1340" s="8"/>
      <c r="FR1340" s="8"/>
      <c r="FS1340" s="8"/>
      <c r="FT1340" s="8"/>
      <c r="FU1340" s="8"/>
      <c r="FV1340" s="8"/>
      <c r="FW1340" s="8"/>
      <c r="FX1340" s="8"/>
      <c r="FY1340" s="8"/>
      <c r="FZ1340" s="8"/>
      <c r="GA1340" s="8"/>
      <c r="GB1340" s="8"/>
      <c r="GC1340" s="8"/>
      <c r="GD1340" s="8"/>
      <c r="GE1340" s="8"/>
      <c r="GF1340" s="8"/>
      <c r="GG1340" s="8"/>
      <c r="GH1340" s="8"/>
      <c r="GI1340" s="8"/>
      <c r="GJ1340" s="8"/>
      <c r="GK1340" s="8"/>
      <c r="GL1340" s="8"/>
      <c r="GM1340" s="8"/>
      <c r="GN1340" s="8"/>
      <c r="GO1340" s="8"/>
      <c r="GP1340" s="8"/>
      <c r="GQ1340" s="8"/>
      <c r="GR1340" s="8"/>
      <c r="GS1340" s="8"/>
      <c r="GT1340" s="8"/>
      <c r="GU1340" s="8"/>
      <c r="GV1340" s="8"/>
      <c r="GW1340" s="8"/>
      <c r="GX1340" s="8"/>
      <c r="GY1340" s="8"/>
      <c r="GZ1340" s="8"/>
      <c r="HA1340" s="8"/>
      <c r="HB1340" s="8"/>
      <c r="HC1340" s="8"/>
      <c r="HD1340" s="8"/>
      <c r="HE1340" s="8"/>
      <c r="HF1340" s="8"/>
      <c r="HG1340" s="8"/>
      <c r="HH1340" s="8"/>
      <c r="HI1340" s="8"/>
      <c r="HJ1340" s="8"/>
      <c r="HK1340" s="8"/>
      <c r="HL1340" s="8"/>
      <c r="HM1340" s="8"/>
      <c r="HN1340" s="8"/>
      <c r="HO1340" s="8"/>
      <c r="HP1340" s="8"/>
      <c r="HQ1340" s="8"/>
      <c r="HR1340" s="8"/>
      <c r="HS1340" s="8"/>
      <c r="HT1340" s="8"/>
      <c r="HU1340" s="8"/>
      <c r="HV1340" s="8"/>
      <c r="HW1340" s="8"/>
      <c r="HX1340" s="8"/>
      <c r="HY1340" s="8"/>
      <c r="HZ1340" s="8"/>
      <c r="IA1340" s="8"/>
      <c r="IB1340" s="8"/>
      <c r="IC1340" s="8"/>
      <c r="ID1340" s="8"/>
      <c r="IE1340" s="8"/>
      <c r="IF1340" s="8"/>
    </row>
    <row r="1341" spans="1:240">
      <c r="A1341" s="14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8"/>
      <c r="AP1341" s="8"/>
      <c r="AQ1341" s="8"/>
      <c r="AR1341" s="8"/>
      <c r="AS1341" s="8"/>
      <c r="AT1341" s="8"/>
      <c r="AU1341" s="8"/>
      <c r="AV1341" s="8"/>
      <c r="AW1341" s="8"/>
      <c r="AX1341" s="8"/>
      <c r="AY1341" s="8"/>
      <c r="AZ1341" s="8"/>
      <c r="BA1341" s="8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8"/>
      <c r="BS1341" s="8"/>
      <c r="BT1341" s="8"/>
      <c r="BU1341" s="8"/>
      <c r="BV1341" s="8"/>
      <c r="BW1341" s="8"/>
      <c r="BX1341" s="8"/>
      <c r="BY1341" s="8"/>
      <c r="BZ1341" s="8"/>
      <c r="CA1341" s="8"/>
      <c r="CB1341" s="8"/>
      <c r="CC1341" s="8"/>
      <c r="CD1341" s="8"/>
      <c r="CE1341" s="8"/>
      <c r="CF1341" s="8"/>
      <c r="CG1341" s="8"/>
      <c r="CH1341" s="8"/>
      <c r="CI1341" s="8"/>
      <c r="CJ1341" s="8"/>
      <c r="CK1341" s="8"/>
      <c r="CL1341" s="8"/>
      <c r="CM1341" s="8"/>
      <c r="CN1341" s="8"/>
      <c r="CO1341" s="8"/>
      <c r="CP1341" s="8"/>
      <c r="CQ1341" s="8"/>
      <c r="CR1341" s="8"/>
      <c r="CS1341" s="8"/>
      <c r="CT1341" s="8"/>
      <c r="CU1341" s="8"/>
      <c r="CV1341" s="8"/>
      <c r="CW1341" s="8"/>
      <c r="CX1341" s="8"/>
      <c r="CY1341" s="8"/>
      <c r="CZ1341" s="8"/>
      <c r="DA1341" s="8"/>
      <c r="DB1341" s="8"/>
      <c r="DC1341" s="8"/>
      <c r="DD1341" s="8"/>
      <c r="DE1341" s="8"/>
      <c r="DF1341" s="8"/>
      <c r="DG1341" s="8"/>
      <c r="DH1341" s="8"/>
      <c r="DI1341" s="8"/>
      <c r="DJ1341" s="8"/>
      <c r="DK1341" s="8"/>
      <c r="DL1341" s="8"/>
      <c r="DM1341" s="8"/>
      <c r="DN1341" s="8"/>
      <c r="DO1341" s="8"/>
      <c r="DP1341" s="8"/>
      <c r="DQ1341" s="8"/>
      <c r="DR1341" s="8"/>
      <c r="DS1341" s="8"/>
      <c r="DT1341" s="8"/>
      <c r="DU1341" s="8"/>
      <c r="DV1341" s="8"/>
      <c r="DW1341" s="8"/>
      <c r="DX1341" s="8"/>
      <c r="DY1341" s="8"/>
      <c r="DZ1341" s="8"/>
      <c r="EA1341" s="8"/>
      <c r="EB1341" s="8"/>
      <c r="EC1341" s="8"/>
      <c r="ED1341" s="8"/>
      <c r="EE1341" s="8"/>
      <c r="EF1341" s="8"/>
      <c r="EG1341" s="8"/>
      <c r="EH1341" s="8"/>
      <c r="EI1341" s="8"/>
      <c r="EJ1341" s="8"/>
      <c r="EK1341" s="8"/>
      <c r="EL1341" s="8"/>
      <c r="EM1341" s="8"/>
      <c r="EN1341" s="8"/>
      <c r="EO1341" s="8"/>
      <c r="EP1341" s="8"/>
      <c r="EQ1341" s="8"/>
      <c r="ER1341" s="8"/>
      <c r="ES1341" s="8"/>
      <c r="ET1341" s="8"/>
      <c r="EU1341" s="8"/>
      <c r="EV1341" s="8"/>
      <c r="EW1341" s="8"/>
      <c r="EX1341" s="8"/>
      <c r="EY1341" s="8"/>
      <c r="EZ1341" s="8"/>
      <c r="FA1341" s="8"/>
      <c r="FB1341" s="8"/>
      <c r="FC1341" s="8"/>
      <c r="FD1341" s="8"/>
      <c r="FE1341" s="8"/>
      <c r="FF1341" s="8"/>
      <c r="FG1341" s="8"/>
      <c r="FH1341" s="8"/>
      <c r="FI1341" s="8"/>
      <c r="FJ1341" s="8"/>
      <c r="FK1341" s="8"/>
      <c r="FL1341" s="8"/>
      <c r="FM1341" s="8"/>
      <c r="FN1341" s="8"/>
      <c r="FO1341" s="8"/>
      <c r="FP1341" s="8"/>
      <c r="FQ1341" s="8"/>
      <c r="FR1341" s="8"/>
      <c r="FS1341" s="8"/>
      <c r="FT1341" s="8"/>
      <c r="FU1341" s="8"/>
      <c r="FV1341" s="8"/>
      <c r="FW1341" s="8"/>
      <c r="FX1341" s="8"/>
      <c r="FY1341" s="8"/>
      <c r="FZ1341" s="8"/>
      <c r="GA1341" s="8"/>
      <c r="GB1341" s="8"/>
      <c r="GC1341" s="8"/>
      <c r="GD1341" s="8"/>
      <c r="GE1341" s="8"/>
      <c r="GF1341" s="8"/>
      <c r="GG1341" s="8"/>
      <c r="GH1341" s="8"/>
      <c r="GI1341" s="8"/>
      <c r="GJ1341" s="8"/>
      <c r="GK1341" s="8"/>
      <c r="GL1341" s="8"/>
      <c r="GM1341" s="8"/>
      <c r="GN1341" s="8"/>
      <c r="GO1341" s="8"/>
      <c r="GP1341" s="8"/>
      <c r="GQ1341" s="8"/>
      <c r="GR1341" s="8"/>
      <c r="GS1341" s="8"/>
      <c r="GT1341" s="8"/>
      <c r="GU1341" s="8"/>
      <c r="GV1341" s="8"/>
      <c r="GW1341" s="8"/>
      <c r="GX1341" s="8"/>
      <c r="GY1341" s="8"/>
      <c r="GZ1341" s="8"/>
      <c r="HA1341" s="8"/>
      <c r="HB1341" s="8"/>
      <c r="HC1341" s="8"/>
      <c r="HD1341" s="8"/>
      <c r="HE1341" s="8"/>
      <c r="HF1341" s="8"/>
      <c r="HG1341" s="8"/>
      <c r="HH1341" s="8"/>
      <c r="HI1341" s="8"/>
      <c r="HJ1341" s="8"/>
      <c r="HK1341" s="8"/>
      <c r="HL1341" s="8"/>
      <c r="HM1341" s="8"/>
      <c r="HN1341" s="8"/>
      <c r="HO1341" s="8"/>
      <c r="HP1341" s="8"/>
      <c r="HQ1341" s="8"/>
      <c r="HR1341" s="8"/>
      <c r="HS1341" s="8"/>
      <c r="HT1341" s="8"/>
      <c r="HU1341" s="8"/>
      <c r="HV1341" s="8"/>
      <c r="HW1341" s="8"/>
      <c r="HX1341" s="8"/>
      <c r="HY1341" s="8"/>
      <c r="HZ1341" s="8"/>
      <c r="IA1341" s="8"/>
      <c r="IB1341" s="8"/>
      <c r="IC1341" s="8"/>
      <c r="ID1341" s="8"/>
      <c r="IE1341" s="8"/>
      <c r="IF1341" s="8"/>
    </row>
    <row r="1342" spans="1:240">
      <c r="A1342" s="14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8"/>
      <c r="BS1342" s="8"/>
      <c r="BT1342" s="8"/>
      <c r="BU1342" s="8"/>
      <c r="BV1342" s="8"/>
      <c r="BW1342" s="8"/>
      <c r="BX1342" s="8"/>
      <c r="BY1342" s="8"/>
      <c r="BZ1342" s="8"/>
      <c r="CA1342" s="8"/>
      <c r="CB1342" s="8"/>
      <c r="CC1342" s="8"/>
      <c r="CD1342" s="8"/>
      <c r="CE1342" s="8"/>
      <c r="CF1342" s="8"/>
      <c r="CG1342" s="8"/>
      <c r="CH1342" s="8"/>
      <c r="CI1342" s="8"/>
      <c r="CJ1342" s="8"/>
      <c r="CK1342" s="8"/>
      <c r="CL1342" s="8"/>
      <c r="CM1342" s="8"/>
      <c r="CN1342" s="8"/>
      <c r="CO1342" s="8"/>
      <c r="CP1342" s="8"/>
      <c r="CQ1342" s="8"/>
      <c r="CR1342" s="8"/>
      <c r="CS1342" s="8"/>
      <c r="CT1342" s="8"/>
      <c r="CU1342" s="8"/>
      <c r="CV1342" s="8"/>
      <c r="CW1342" s="8"/>
      <c r="CX1342" s="8"/>
      <c r="CY1342" s="8"/>
      <c r="CZ1342" s="8"/>
      <c r="DA1342" s="8"/>
      <c r="DB1342" s="8"/>
      <c r="DC1342" s="8"/>
      <c r="DD1342" s="8"/>
      <c r="DE1342" s="8"/>
      <c r="DF1342" s="8"/>
      <c r="DG1342" s="8"/>
      <c r="DH1342" s="8"/>
      <c r="DI1342" s="8"/>
      <c r="DJ1342" s="8"/>
      <c r="DK1342" s="8"/>
      <c r="DL1342" s="8"/>
      <c r="DM1342" s="8"/>
      <c r="DN1342" s="8"/>
      <c r="DO1342" s="8"/>
      <c r="DP1342" s="8"/>
      <c r="DQ1342" s="8"/>
      <c r="DR1342" s="8"/>
      <c r="DS1342" s="8"/>
      <c r="DT1342" s="8"/>
      <c r="DU1342" s="8"/>
      <c r="DV1342" s="8"/>
      <c r="DW1342" s="8"/>
      <c r="DX1342" s="8"/>
      <c r="DY1342" s="8"/>
      <c r="DZ1342" s="8"/>
      <c r="EA1342" s="8"/>
      <c r="EB1342" s="8"/>
      <c r="EC1342" s="8"/>
      <c r="ED1342" s="8"/>
      <c r="EE1342" s="8"/>
      <c r="EF1342" s="8"/>
      <c r="EG1342" s="8"/>
      <c r="EH1342" s="8"/>
      <c r="EI1342" s="8"/>
      <c r="EJ1342" s="8"/>
      <c r="EK1342" s="8"/>
      <c r="EL1342" s="8"/>
      <c r="EM1342" s="8"/>
      <c r="EN1342" s="8"/>
      <c r="EO1342" s="8"/>
      <c r="EP1342" s="8"/>
      <c r="EQ1342" s="8"/>
      <c r="ER1342" s="8"/>
      <c r="ES1342" s="8"/>
      <c r="ET1342" s="8"/>
      <c r="EU1342" s="8"/>
      <c r="EV1342" s="8"/>
      <c r="EW1342" s="8"/>
      <c r="EX1342" s="8"/>
      <c r="EY1342" s="8"/>
      <c r="EZ1342" s="8"/>
      <c r="FA1342" s="8"/>
      <c r="FB1342" s="8"/>
      <c r="FC1342" s="8"/>
      <c r="FD1342" s="8"/>
      <c r="FE1342" s="8"/>
      <c r="FF1342" s="8"/>
      <c r="FG1342" s="8"/>
      <c r="FH1342" s="8"/>
      <c r="FI1342" s="8"/>
      <c r="FJ1342" s="8"/>
      <c r="FK1342" s="8"/>
      <c r="FL1342" s="8"/>
      <c r="FM1342" s="8"/>
      <c r="FN1342" s="8"/>
      <c r="FO1342" s="8"/>
      <c r="FP1342" s="8"/>
      <c r="FQ1342" s="8"/>
      <c r="FR1342" s="8"/>
      <c r="FS1342" s="8"/>
      <c r="FT1342" s="8"/>
      <c r="FU1342" s="8"/>
      <c r="FV1342" s="8"/>
      <c r="FW1342" s="8"/>
      <c r="FX1342" s="8"/>
      <c r="FY1342" s="8"/>
      <c r="FZ1342" s="8"/>
      <c r="GA1342" s="8"/>
      <c r="GB1342" s="8"/>
      <c r="GC1342" s="8"/>
      <c r="GD1342" s="8"/>
      <c r="GE1342" s="8"/>
      <c r="GF1342" s="8"/>
      <c r="GG1342" s="8"/>
      <c r="GH1342" s="8"/>
      <c r="GI1342" s="8"/>
      <c r="GJ1342" s="8"/>
      <c r="GK1342" s="8"/>
      <c r="GL1342" s="8"/>
      <c r="GM1342" s="8"/>
      <c r="GN1342" s="8"/>
      <c r="GO1342" s="8"/>
      <c r="GP1342" s="8"/>
      <c r="GQ1342" s="8"/>
      <c r="GR1342" s="8"/>
      <c r="GS1342" s="8"/>
      <c r="GT1342" s="8"/>
      <c r="GU1342" s="8"/>
      <c r="GV1342" s="8"/>
      <c r="GW1342" s="8"/>
      <c r="GX1342" s="8"/>
      <c r="GY1342" s="8"/>
      <c r="GZ1342" s="8"/>
      <c r="HA1342" s="8"/>
      <c r="HB1342" s="8"/>
      <c r="HC1342" s="8"/>
      <c r="HD1342" s="8"/>
      <c r="HE1342" s="8"/>
      <c r="HF1342" s="8"/>
      <c r="HG1342" s="8"/>
      <c r="HH1342" s="8"/>
      <c r="HI1342" s="8"/>
      <c r="HJ1342" s="8"/>
      <c r="HK1342" s="8"/>
      <c r="HL1342" s="8"/>
      <c r="HM1342" s="8"/>
      <c r="HN1342" s="8"/>
      <c r="HO1342" s="8"/>
      <c r="HP1342" s="8"/>
      <c r="HQ1342" s="8"/>
      <c r="HR1342" s="8"/>
      <c r="HS1342" s="8"/>
      <c r="HT1342" s="8"/>
      <c r="HU1342" s="8"/>
      <c r="HV1342" s="8"/>
      <c r="HW1342" s="8"/>
      <c r="HX1342" s="8"/>
      <c r="HY1342" s="8"/>
      <c r="HZ1342" s="8"/>
      <c r="IA1342" s="8"/>
      <c r="IB1342" s="8"/>
      <c r="IC1342" s="8"/>
      <c r="ID1342" s="8"/>
      <c r="IE1342" s="8"/>
      <c r="IF1342" s="8"/>
    </row>
    <row r="1343" spans="1:240">
      <c r="A1343" s="14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8"/>
      <c r="BS1343" s="8"/>
      <c r="BT1343" s="8"/>
      <c r="BU1343" s="8"/>
      <c r="BV1343" s="8"/>
      <c r="BW1343" s="8"/>
      <c r="BX1343" s="8"/>
      <c r="BY1343" s="8"/>
      <c r="BZ1343" s="8"/>
      <c r="CA1343" s="8"/>
      <c r="CB1343" s="8"/>
      <c r="CC1343" s="8"/>
      <c r="CD1343" s="8"/>
      <c r="CE1343" s="8"/>
      <c r="CF1343" s="8"/>
      <c r="CG1343" s="8"/>
      <c r="CH1343" s="8"/>
      <c r="CI1343" s="8"/>
      <c r="CJ1343" s="8"/>
      <c r="CK1343" s="8"/>
      <c r="CL1343" s="8"/>
      <c r="CM1343" s="8"/>
      <c r="CN1343" s="8"/>
      <c r="CO1343" s="8"/>
      <c r="CP1343" s="8"/>
      <c r="CQ1343" s="8"/>
      <c r="CR1343" s="8"/>
      <c r="CS1343" s="8"/>
      <c r="CT1343" s="8"/>
      <c r="CU1343" s="8"/>
      <c r="CV1343" s="8"/>
      <c r="CW1343" s="8"/>
      <c r="CX1343" s="8"/>
      <c r="CY1343" s="8"/>
      <c r="CZ1343" s="8"/>
      <c r="DA1343" s="8"/>
      <c r="DB1343" s="8"/>
      <c r="DC1343" s="8"/>
      <c r="DD1343" s="8"/>
      <c r="DE1343" s="8"/>
      <c r="DF1343" s="8"/>
      <c r="DG1343" s="8"/>
      <c r="DH1343" s="8"/>
      <c r="DI1343" s="8"/>
      <c r="DJ1343" s="8"/>
      <c r="DK1343" s="8"/>
      <c r="DL1343" s="8"/>
      <c r="DM1343" s="8"/>
      <c r="DN1343" s="8"/>
      <c r="DO1343" s="8"/>
      <c r="DP1343" s="8"/>
      <c r="DQ1343" s="8"/>
      <c r="DR1343" s="8"/>
      <c r="DS1343" s="8"/>
      <c r="DT1343" s="8"/>
      <c r="DU1343" s="8"/>
      <c r="DV1343" s="8"/>
      <c r="DW1343" s="8"/>
      <c r="DX1343" s="8"/>
      <c r="DY1343" s="8"/>
      <c r="DZ1343" s="8"/>
      <c r="EA1343" s="8"/>
      <c r="EB1343" s="8"/>
      <c r="EC1343" s="8"/>
      <c r="ED1343" s="8"/>
      <c r="EE1343" s="8"/>
      <c r="EF1343" s="8"/>
      <c r="EG1343" s="8"/>
      <c r="EH1343" s="8"/>
      <c r="EI1343" s="8"/>
      <c r="EJ1343" s="8"/>
      <c r="EK1343" s="8"/>
      <c r="EL1343" s="8"/>
      <c r="EM1343" s="8"/>
      <c r="EN1343" s="8"/>
      <c r="EO1343" s="8"/>
      <c r="EP1343" s="8"/>
      <c r="EQ1343" s="8"/>
      <c r="ER1343" s="8"/>
      <c r="ES1343" s="8"/>
      <c r="ET1343" s="8"/>
      <c r="EU1343" s="8"/>
      <c r="EV1343" s="8"/>
      <c r="EW1343" s="8"/>
      <c r="EX1343" s="8"/>
      <c r="EY1343" s="8"/>
      <c r="EZ1343" s="8"/>
      <c r="FA1343" s="8"/>
      <c r="FB1343" s="8"/>
      <c r="FC1343" s="8"/>
      <c r="FD1343" s="8"/>
      <c r="FE1343" s="8"/>
      <c r="FF1343" s="8"/>
      <c r="FG1343" s="8"/>
      <c r="FH1343" s="8"/>
      <c r="FI1343" s="8"/>
      <c r="FJ1343" s="8"/>
      <c r="FK1343" s="8"/>
      <c r="FL1343" s="8"/>
      <c r="FM1343" s="8"/>
      <c r="FN1343" s="8"/>
      <c r="FO1343" s="8"/>
      <c r="FP1343" s="8"/>
      <c r="FQ1343" s="8"/>
      <c r="FR1343" s="8"/>
      <c r="FS1343" s="8"/>
      <c r="FT1343" s="8"/>
      <c r="FU1343" s="8"/>
      <c r="FV1343" s="8"/>
      <c r="FW1343" s="8"/>
      <c r="FX1343" s="8"/>
      <c r="FY1343" s="8"/>
      <c r="FZ1343" s="8"/>
      <c r="GA1343" s="8"/>
      <c r="GB1343" s="8"/>
      <c r="GC1343" s="8"/>
      <c r="GD1343" s="8"/>
      <c r="GE1343" s="8"/>
      <c r="GF1343" s="8"/>
      <c r="GG1343" s="8"/>
      <c r="GH1343" s="8"/>
      <c r="GI1343" s="8"/>
      <c r="GJ1343" s="8"/>
      <c r="GK1343" s="8"/>
      <c r="GL1343" s="8"/>
      <c r="GM1343" s="8"/>
      <c r="GN1343" s="8"/>
      <c r="GO1343" s="8"/>
      <c r="GP1343" s="8"/>
      <c r="GQ1343" s="8"/>
      <c r="GR1343" s="8"/>
      <c r="GS1343" s="8"/>
      <c r="GT1343" s="8"/>
      <c r="GU1343" s="8"/>
      <c r="GV1343" s="8"/>
      <c r="GW1343" s="8"/>
      <c r="GX1343" s="8"/>
      <c r="GY1343" s="8"/>
      <c r="GZ1343" s="8"/>
      <c r="HA1343" s="8"/>
      <c r="HB1343" s="8"/>
      <c r="HC1343" s="8"/>
      <c r="HD1343" s="8"/>
      <c r="HE1343" s="8"/>
      <c r="HF1343" s="8"/>
      <c r="HG1343" s="8"/>
      <c r="HH1343" s="8"/>
      <c r="HI1343" s="8"/>
      <c r="HJ1343" s="8"/>
      <c r="HK1343" s="8"/>
      <c r="HL1343" s="8"/>
      <c r="HM1343" s="8"/>
      <c r="HN1343" s="8"/>
      <c r="HO1343" s="8"/>
      <c r="HP1343" s="8"/>
      <c r="HQ1343" s="8"/>
      <c r="HR1343" s="8"/>
      <c r="HS1343" s="8"/>
      <c r="HT1343" s="8"/>
      <c r="HU1343" s="8"/>
      <c r="HV1343" s="8"/>
      <c r="HW1343" s="8"/>
      <c r="HX1343" s="8"/>
      <c r="HY1343" s="8"/>
      <c r="HZ1343" s="8"/>
      <c r="IA1343" s="8"/>
      <c r="IB1343" s="8"/>
      <c r="IC1343" s="8"/>
      <c r="ID1343" s="8"/>
      <c r="IE1343" s="8"/>
      <c r="IF1343" s="8"/>
    </row>
    <row r="1344" spans="1:240">
      <c r="A1344" s="14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8"/>
      <c r="BS1344" s="8"/>
      <c r="BT1344" s="8"/>
      <c r="BU1344" s="8"/>
      <c r="BV1344" s="8"/>
      <c r="BW1344" s="8"/>
      <c r="BX1344" s="8"/>
      <c r="BY1344" s="8"/>
      <c r="BZ1344" s="8"/>
      <c r="CA1344" s="8"/>
      <c r="CB1344" s="8"/>
      <c r="CC1344" s="8"/>
      <c r="CD1344" s="8"/>
      <c r="CE1344" s="8"/>
      <c r="CF1344" s="8"/>
      <c r="CG1344" s="8"/>
      <c r="CH1344" s="8"/>
      <c r="CI1344" s="8"/>
      <c r="CJ1344" s="8"/>
      <c r="CK1344" s="8"/>
      <c r="CL1344" s="8"/>
      <c r="CM1344" s="8"/>
      <c r="CN1344" s="8"/>
      <c r="CO1344" s="8"/>
      <c r="CP1344" s="8"/>
      <c r="CQ1344" s="8"/>
      <c r="CR1344" s="8"/>
      <c r="CS1344" s="8"/>
      <c r="CT1344" s="8"/>
      <c r="CU1344" s="8"/>
      <c r="CV1344" s="8"/>
      <c r="CW1344" s="8"/>
      <c r="CX1344" s="8"/>
      <c r="CY1344" s="8"/>
      <c r="CZ1344" s="8"/>
      <c r="DA1344" s="8"/>
      <c r="DB1344" s="8"/>
      <c r="DC1344" s="8"/>
      <c r="DD1344" s="8"/>
      <c r="DE1344" s="8"/>
      <c r="DF1344" s="8"/>
      <c r="DG1344" s="8"/>
      <c r="DH1344" s="8"/>
      <c r="DI1344" s="8"/>
      <c r="DJ1344" s="8"/>
      <c r="DK1344" s="8"/>
      <c r="DL1344" s="8"/>
      <c r="DM1344" s="8"/>
      <c r="DN1344" s="8"/>
      <c r="DO1344" s="8"/>
      <c r="DP1344" s="8"/>
      <c r="DQ1344" s="8"/>
      <c r="DR1344" s="8"/>
      <c r="DS1344" s="8"/>
      <c r="DT1344" s="8"/>
      <c r="DU1344" s="8"/>
      <c r="DV1344" s="8"/>
      <c r="DW1344" s="8"/>
      <c r="DX1344" s="8"/>
      <c r="DY1344" s="8"/>
      <c r="DZ1344" s="8"/>
      <c r="EA1344" s="8"/>
      <c r="EB1344" s="8"/>
      <c r="EC1344" s="8"/>
      <c r="ED1344" s="8"/>
      <c r="EE1344" s="8"/>
      <c r="EF1344" s="8"/>
      <c r="EG1344" s="8"/>
      <c r="EH1344" s="8"/>
      <c r="EI1344" s="8"/>
      <c r="EJ1344" s="8"/>
      <c r="EK1344" s="8"/>
      <c r="EL1344" s="8"/>
      <c r="EM1344" s="8"/>
      <c r="EN1344" s="8"/>
      <c r="EO1344" s="8"/>
      <c r="EP1344" s="8"/>
      <c r="EQ1344" s="8"/>
      <c r="ER1344" s="8"/>
      <c r="ES1344" s="8"/>
      <c r="ET1344" s="8"/>
      <c r="EU1344" s="8"/>
      <c r="EV1344" s="8"/>
      <c r="EW1344" s="8"/>
      <c r="EX1344" s="8"/>
      <c r="EY1344" s="8"/>
      <c r="EZ1344" s="8"/>
      <c r="FA1344" s="8"/>
      <c r="FB1344" s="8"/>
      <c r="FC1344" s="8"/>
      <c r="FD1344" s="8"/>
      <c r="FE1344" s="8"/>
      <c r="FF1344" s="8"/>
      <c r="FG1344" s="8"/>
      <c r="FH1344" s="8"/>
      <c r="FI1344" s="8"/>
      <c r="FJ1344" s="8"/>
      <c r="FK1344" s="8"/>
      <c r="FL1344" s="8"/>
      <c r="FM1344" s="8"/>
      <c r="FN1344" s="8"/>
      <c r="FO1344" s="8"/>
      <c r="FP1344" s="8"/>
      <c r="FQ1344" s="8"/>
      <c r="FR1344" s="8"/>
      <c r="FS1344" s="8"/>
      <c r="FT1344" s="8"/>
      <c r="FU1344" s="8"/>
      <c r="FV1344" s="8"/>
      <c r="FW1344" s="8"/>
      <c r="FX1344" s="8"/>
      <c r="FY1344" s="8"/>
      <c r="FZ1344" s="8"/>
      <c r="GA1344" s="8"/>
      <c r="GB1344" s="8"/>
      <c r="GC1344" s="8"/>
      <c r="GD1344" s="8"/>
      <c r="GE1344" s="8"/>
      <c r="GF1344" s="8"/>
      <c r="GG1344" s="8"/>
      <c r="GH1344" s="8"/>
      <c r="GI1344" s="8"/>
      <c r="GJ1344" s="8"/>
      <c r="GK1344" s="8"/>
      <c r="GL1344" s="8"/>
      <c r="GM1344" s="8"/>
      <c r="GN1344" s="8"/>
      <c r="GO1344" s="8"/>
      <c r="GP1344" s="8"/>
      <c r="GQ1344" s="8"/>
      <c r="GR1344" s="8"/>
      <c r="GS1344" s="8"/>
      <c r="GT1344" s="8"/>
      <c r="GU1344" s="8"/>
      <c r="GV1344" s="8"/>
      <c r="GW1344" s="8"/>
      <c r="GX1344" s="8"/>
      <c r="GY1344" s="8"/>
      <c r="GZ1344" s="8"/>
      <c r="HA1344" s="8"/>
      <c r="HB1344" s="8"/>
      <c r="HC1344" s="8"/>
      <c r="HD1344" s="8"/>
      <c r="HE1344" s="8"/>
      <c r="HF1344" s="8"/>
      <c r="HG1344" s="8"/>
      <c r="HH1344" s="8"/>
      <c r="HI1344" s="8"/>
      <c r="HJ1344" s="8"/>
      <c r="HK1344" s="8"/>
      <c r="HL1344" s="8"/>
      <c r="HM1344" s="8"/>
      <c r="HN1344" s="8"/>
      <c r="HO1344" s="8"/>
      <c r="HP1344" s="8"/>
      <c r="HQ1344" s="8"/>
      <c r="HR1344" s="8"/>
      <c r="HS1344" s="8"/>
      <c r="HT1344" s="8"/>
      <c r="HU1344" s="8"/>
      <c r="HV1344" s="8"/>
      <c r="HW1344" s="8"/>
      <c r="HX1344" s="8"/>
      <c r="HY1344" s="8"/>
      <c r="HZ1344" s="8"/>
      <c r="IA1344" s="8"/>
      <c r="IB1344" s="8"/>
      <c r="IC1344" s="8"/>
      <c r="ID1344" s="8"/>
      <c r="IE1344" s="8"/>
      <c r="IF1344" s="8"/>
    </row>
    <row r="1345" spans="1:240">
      <c r="A1345" s="14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8"/>
      <c r="BS1345" s="8"/>
      <c r="BT1345" s="8"/>
      <c r="BU1345" s="8"/>
      <c r="BV1345" s="8"/>
      <c r="BW1345" s="8"/>
      <c r="BX1345" s="8"/>
      <c r="BY1345" s="8"/>
      <c r="BZ1345" s="8"/>
      <c r="CA1345" s="8"/>
      <c r="CB1345" s="8"/>
      <c r="CC1345" s="8"/>
      <c r="CD1345" s="8"/>
      <c r="CE1345" s="8"/>
      <c r="CF1345" s="8"/>
      <c r="CG1345" s="8"/>
      <c r="CH1345" s="8"/>
      <c r="CI1345" s="8"/>
      <c r="CJ1345" s="8"/>
      <c r="CK1345" s="8"/>
      <c r="CL1345" s="8"/>
      <c r="CM1345" s="8"/>
      <c r="CN1345" s="8"/>
      <c r="CO1345" s="8"/>
      <c r="CP1345" s="8"/>
      <c r="CQ1345" s="8"/>
      <c r="CR1345" s="8"/>
      <c r="CS1345" s="8"/>
      <c r="CT1345" s="8"/>
      <c r="CU1345" s="8"/>
      <c r="CV1345" s="8"/>
      <c r="CW1345" s="8"/>
      <c r="CX1345" s="8"/>
      <c r="CY1345" s="8"/>
      <c r="CZ1345" s="8"/>
      <c r="DA1345" s="8"/>
      <c r="DB1345" s="8"/>
      <c r="DC1345" s="8"/>
      <c r="DD1345" s="8"/>
      <c r="DE1345" s="8"/>
      <c r="DF1345" s="8"/>
      <c r="DG1345" s="8"/>
      <c r="DH1345" s="8"/>
      <c r="DI1345" s="8"/>
      <c r="DJ1345" s="8"/>
      <c r="DK1345" s="8"/>
      <c r="DL1345" s="8"/>
      <c r="DM1345" s="8"/>
      <c r="DN1345" s="8"/>
      <c r="DO1345" s="8"/>
      <c r="DP1345" s="8"/>
      <c r="DQ1345" s="8"/>
      <c r="DR1345" s="8"/>
      <c r="DS1345" s="8"/>
      <c r="DT1345" s="8"/>
      <c r="DU1345" s="8"/>
      <c r="DV1345" s="8"/>
      <c r="DW1345" s="8"/>
      <c r="DX1345" s="8"/>
      <c r="DY1345" s="8"/>
      <c r="DZ1345" s="8"/>
      <c r="EA1345" s="8"/>
      <c r="EB1345" s="8"/>
      <c r="EC1345" s="8"/>
      <c r="ED1345" s="8"/>
      <c r="EE1345" s="8"/>
      <c r="EF1345" s="8"/>
      <c r="EG1345" s="8"/>
      <c r="EH1345" s="8"/>
      <c r="EI1345" s="8"/>
      <c r="EJ1345" s="8"/>
      <c r="EK1345" s="8"/>
      <c r="EL1345" s="8"/>
      <c r="EM1345" s="8"/>
      <c r="EN1345" s="8"/>
      <c r="EO1345" s="8"/>
      <c r="EP1345" s="8"/>
      <c r="EQ1345" s="8"/>
      <c r="ER1345" s="8"/>
      <c r="ES1345" s="8"/>
      <c r="ET1345" s="8"/>
      <c r="EU1345" s="8"/>
      <c r="EV1345" s="8"/>
      <c r="EW1345" s="8"/>
      <c r="EX1345" s="8"/>
      <c r="EY1345" s="8"/>
      <c r="EZ1345" s="8"/>
      <c r="FA1345" s="8"/>
      <c r="FB1345" s="8"/>
      <c r="FC1345" s="8"/>
      <c r="FD1345" s="8"/>
      <c r="FE1345" s="8"/>
      <c r="FF1345" s="8"/>
      <c r="FG1345" s="8"/>
      <c r="FH1345" s="8"/>
      <c r="FI1345" s="8"/>
      <c r="FJ1345" s="8"/>
      <c r="FK1345" s="8"/>
      <c r="FL1345" s="8"/>
      <c r="FM1345" s="8"/>
      <c r="FN1345" s="8"/>
      <c r="FO1345" s="8"/>
      <c r="FP1345" s="8"/>
      <c r="FQ1345" s="8"/>
      <c r="FR1345" s="8"/>
      <c r="FS1345" s="8"/>
      <c r="FT1345" s="8"/>
      <c r="FU1345" s="8"/>
      <c r="FV1345" s="8"/>
      <c r="FW1345" s="8"/>
      <c r="FX1345" s="8"/>
      <c r="FY1345" s="8"/>
      <c r="FZ1345" s="8"/>
      <c r="GA1345" s="8"/>
      <c r="GB1345" s="8"/>
      <c r="GC1345" s="8"/>
      <c r="GD1345" s="8"/>
      <c r="GE1345" s="8"/>
      <c r="GF1345" s="8"/>
      <c r="GG1345" s="8"/>
      <c r="GH1345" s="8"/>
      <c r="GI1345" s="8"/>
      <c r="GJ1345" s="8"/>
      <c r="GK1345" s="8"/>
      <c r="GL1345" s="8"/>
      <c r="GM1345" s="8"/>
      <c r="GN1345" s="8"/>
      <c r="GO1345" s="8"/>
      <c r="GP1345" s="8"/>
      <c r="GQ1345" s="8"/>
      <c r="GR1345" s="8"/>
      <c r="GS1345" s="8"/>
      <c r="GT1345" s="8"/>
      <c r="GU1345" s="8"/>
      <c r="GV1345" s="8"/>
      <c r="GW1345" s="8"/>
      <c r="GX1345" s="8"/>
      <c r="GY1345" s="8"/>
      <c r="GZ1345" s="8"/>
      <c r="HA1345" s="8"/>
      <c r="HB1345" s="8"/>
      <c r="HC1345" s="8"/>
      <c r="HD1345" s="8"/>
      <c r="HE1345" s="8"/>
      <c r="HF1345" s="8"/>
      <c r="HG1345" s="8"/>
      <c r="HH1345" s="8"/>
      <c r="HI1345" s="8"/>
      <c r="HJ1345" s="8"/>
      <c r="HK1345" s="8"/>
      <c r="HL1345" s="8"/>
      <c r="HM1345" s="8"/>
      <c r="HN1345" s="8"/>
      <c r="HO1345" s="8"/>
      <c r="HP1345" s="8"/>
      <c r="HQ1345" s="8"/>
      <c r="HR1345" s="8"/>
      <c r="HS1345" s="8"/>
      <c r="HT1345" s="8"/>
      <c r="HU1345" s="8"/>
      <c r="HV1345" s="8"/>
      <c r="HW1345" s="8"/>
      <c r="HX1345" s="8"/>
      <c r="HY1345" s="8"/>
      <c r="HZ1345" s="8"/>
      <c r="IA1345" s="8"/>
      <c r="IB1345" s="8"/>
      <c r="IC1345" s="8"/>
      <c r="ID1345" s="8"/>
      <c r="IE1345" s="8"/>
      <c r="IF1345" s="8"/>
    </row>
    <row r="1346" spans="1:240">
      <c r="A1346" s="14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8"/>
      <c r="AP1346" s="8"/>
      <c r="AQ1346" s="8"/>
      <c r="AR1346" s="8"/>
      <c r="AS1346" s="8"/>
      <c r="AT1346" s="8"/>
      <c r="AU1346" s="8"/>
      <c r="AV1346" s="8"/>
      <c r="AW1346" s="8"/>
      <c r="AX1346" s="8"/>
      <c r="AY1346" s="8"/>
      <c r="AZ1346" s="8"/>
      <c r="BA1346" s="8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8"/>
      <c r="BS1346" s="8"/>
      <c r="BT1346" s="8"/>
      <c r="BU1346" s="8"/>
      <c r="BV1346" s="8"/>
      <c r="BW1346" s="8"/>
      <c r="BX1346" s="8"/>
      <c r="BY1346" s="8"/>
      <c r="BZ1346" s="8"/>
      <c r="CA1346" s="8"/>
      <c r="CB1346" s="8"/>
      <c r="CC1346" s="8"/>
      <c r="CD1346" s="8"/>
      <c r="CE1346" s="8"/>
      <c r="CF1346" s="8"/>
      <c r="CG1346" s="8"/>
      <c r="CH1346" s="8"/>
      <c r="CI1346" s="8"/>
      <c r="CJ1346" s="8"/>
      <c r="CK1346" s="8"/>
      <c r="CL1346" s="8"/>
      <c r="CM1346" s="8"/>
      <c r="CN1346" s="8"/>
      <c r="CO1346" s="8"/>
      <c r="CP1346" s="8"/>
      <c r="CQ1346" s="8"/>
      <c r="CR1346" s="8"/>
      <c r="CS1346" s="8"/>
      <c r="CT1346" s="8"/>
      <c r="CU1346" s="8"/>
      <c r="CV1346" s="8"/>
      <c r="CW1346" s="8"/>
      <c r="CX1346" s="8"/>
      <c r="CY1346" s="8"/>
      <c r="CZ1346" s="8"/>
      <c r="DA1346" s="8"/>
      <c r="DB1346" s="8"/>
      <c r="DC1346" s="8"/>
      <c r="DD1346" s="8"/>
      <c r="DE1346" s="8"/>
      <c r="DF1346" s="8"/>
      <c r="DG1346" s="8"/>
      <c r="DH1346" s="8"/>
      <c r="DI1346" s="8"/>
      <c r="DJ1346" s="8"/>
      <c r="DK1346" s="8"/>
      <c r="DL1346" s="8"/>
      <c r="DM1346" s="8"/>
      <c r="DN1346" s="8"/>
      <c r="DO1346" s="8"/>
      <c r="DP1346" s="8"/>
      <c r="DQ1346" s="8"/>
      <c r="DR1346" s="8"/>
      <c r="DS1346" s="8"/>
      <c r="DT1346" s="8"/>
      <c r="DU1346" s="8"/>
      <c r="DV1346" s="8"/>
      <c r="DW1346" s="8"/>
      <c r="DX1346" s="8"/>
      <c r="DY1346" s="8"/>
      <c r="DZ1346" s="8"/>
      <c r="EA1346" s="8"/>
      <c r="EB1346" s="8"/>
      <c r="EC1346" s="8"/>
      <c r="ED1346" s="8"/>
      <c r="EE1346" s="8"/>
      <c r="EF1346" s="8"/>
      <c r="EG1346" s="8"/>
      <c r="EH1346" s="8"/>
      <c r="EI1346" s="8"/>
      <c r="EJ1346" s="8"/>
      <c r="EK1346" s="8"/>
      <c r="EL1346" s="8"/>
      <c r="EM1346" s="8"/>
      <c r="EN1346" s="8"/>
      <c r="EO1346" s="8"/>
      <c r="EP1346" s="8"/>
      <c r="EQ1346" s="8"/>
      <c r="ER1346" s="8"/>
      <c r="ES1346" s="8"/>
      <c r="ET1346" s="8"/>
      <c r="EU1346" s="8"/>
      <c r="EV1346" s="8"/>
      <c r="EW1346" s="8"/>
      <c r="EX1346" s="8"/>
      <c r="EY1346" s="8"/>
      <c r="EZ1346" s="8"/>
      <c r="FA1346" s="8"/>
      <c r="FB1346" s="8"/>
      <c r="FC1346" s="8"/>
      <c r="FD1346" s="8"/>
      <c r="FE1346" s="8"/>
      <c r="FF1346" s="8"/>
      <c r="FG1346" s="8"/>
      <c r="FH1346" s="8"/>
      <c r="FI1346" s="8"/>
      <c r="FJ1346" s="8"/>
      <c r="FK1346" s="8"/>
      <c r="FL1346" s="8"/>
      <c r="FM1346" s="8"/>
      <c r="FN1346" s="8"/>
      <c r="FO1346" s="8"/>
      <c r="FP1346" s="8"/>
      <c r="FQ1346" s="8"/>
      <c r="FR1346" s="8"/>
      <c r="FS1346" s="8"/>
      <c r="FT1346" s="8"/>
      <c r="FU1346" s="8"/>
      <c r="FV1346" s="8"/>
      <c r="FW1346" s="8"/>
      <c r="FX1346" s="8"/>
      <c r="FY1346" s="8"/>
      <c r="FZ1346" s="8"/>
      <c r="GA1346" s="8"/>
      <c r="GB1346" s="8"/>
      <c r="GC1346" s="8"/>
      <c r="GD1346" s="8"/>
      <c r="GE1346" s="8"/>
      <c r="GF1346" s="8"/>
      <c r="GG1346" s="8"/>
      <c r="GH1346" s="8"/>
      <c r="GI1346" s="8"/>
      <c r="GJ1346" s="8"/>
      <c r="GK1346" s="8"/>
      <c r="GL1346" s="8"/>
      <c r="GM1346" s="8"/>
      <c r="GN1346" s="8"/>
      <c r="GO1346" s="8"/>
      <c r="GP1346" s="8"/>
      <c r="GQ1346" s="8"/>
      <c r="GR1346" s="8"/>
      <c r="GS1346" s="8"/>
      <c r="GT1346" s="8"/>
      <c r="GU1346" s="8"/>
      <c r="GV1346" s="8"/>
      <c r="GW1346" s="8"/>
      <c r="GX1346" s="8"/>
      <c r="GY1346" s="8"/>
      <c r="GZ1346" s="8"/>
      <c r="HA1346" s="8"/>
      <c r="HB1346" s="8"/>
      <c r="HC1346" s="8"/>
      <c r="HD1346" s="8"/>
      <c r="HE1346" s="8"/>
      <c r="HF1346" s="8"/>
      <c r="HG1346" s="8"/>
      <c r="HH1346" s="8"/>
      <c r="HI1346" s="8"/>
      <c r="HJ1346" s="8"/>
      <c r="HK1346" s="8"/>
      <c r="HL1346" s="8"/>
      <c r="HM1346" s="8"/>
      <c r="HN1346" s="8"/>
      <c r="HO1346" s="8"/>
      <c r="HP1346" s="8"/>
      <c r="HQ1346" s="8"/>
      <c r="HR1346" s="8"/>
      <c r="HS1346" s="8"/>
      <c r="HT1346" s="8"/>
      <c r="HU1346" s="8"/>
      <c r="HV1346" s="8"/>
      <c r="HW1346" s="8"/>
      <c r="HX1346" s="8"/>
      <c r="HY1346" s="8"/>
      <c r="HZ1346" s="8"/>
      <c r="IA1346" s="8"/>
      <c r="IB1346" s="8"/>
      <c r="IC1346" s="8"/>
      <c r="ID1346" s="8"/>
      <c r="IE1346" s="8"/>
      <c r="IF1346" s="8"/>
    </row>
    <row r="1347" spans="1:240">
      <c r="A1347" s="14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8"/>
      <c r="BS1347" s="8"/>
      <c r="BT1347" s="8"/>
      <c r="BU1347" s="8"/>
      <c r="BV1347" s="8"/>
      <c r="BW1347" s="8"/>
      <c r="BX1347" s="8"/>
      <c r="BY1347" s="8"/>
      <c r="BZ1347" s="8"/>
      <c r="CA1347" s="8"/>
      <c r="CB1347" s="8"/>
      <c r="CC1347" s="8"/>
      <c r="CD1347" s="8"/>
      <c r="CE1347" s="8"/>
      <c r="CF1347" s="8"/>
      <c r="CG1347" s="8"/>
      <c r="CH1347" s="8"/>
      <c r="CI1347" s="8"/>
      <c r="CJ1347" s="8"/>
      <c r="CK1347" s="8"/>
      <c r="CL1347" s="8"/>
      <c r="CM1347" s="8"/>
      <c r="CN1347" s="8"/>
      <c r="CO1347" s="8"/>
      <c r="CP1347" s="8"/>
      <c r="CQ1347" s="8"/>
      <c r="CR1347" s="8"/>
      <c r="CS1347" s="8"/>
      <c r="CT1347" s="8"/>
      <c r="CU1347" s="8"/>
      <c r="CV1347" s="8"/>
      <c r="CW1347" s="8"/>
      <c r="CX1347" s="8"/>
      <c r="CY1347" s="8"/>
      <c r="CZ1347" s="8"/>
      <c r="DA1347" s="8"/>
      <c r="DB1347" s="8"/>
      <c r="DC1347" s="8"/>
      <c r="DD1347" s="8"/>
      <c r="DE1347" s="8"/>
      <c r="DF1347" s="8"/>
      <c r="DG1347" s="8"/>
      <c r="DH1347" s="8"/>
      <c r="DI1347" s="8"/>
      <c r="DJ1347" s="8"/>
      <c r="DK1347" s="8"/>
      <c r="DL1347" s="8"/>
      <c r="DM1347" s="8"/>
      <c r="DN1347" s="8"/>
      <c r="DO1347" s="8"/>
      <c r="DP1347" s="8"/>
      <c r="DQ1347" s="8"/>
      <c r="DR1347" s="8"/>
      <c r="DS1347" s="8"/>
      <c r="DT1347" s="8"/>
      <c r="DU1347" s="8"/>
      <c r="DV1347" s="8"/>
      <c r="DW1347" s="8"/>
      <c r="DX1347" s="8"/>
      <c r="DY1347" s="8"/>
      <c r="DZ1347" s="8"/>
      <c r="EA1347" s="8"/>
      <c r="EB1347" s="8"/>
      <c r="EC1347" s="8"/>
      <c r="ED1347" s="8"/>
      <c r="EE1347" s="8"/>
      <c r="EF1347" s="8"/>
      <c r="EG1347" s="8"/>
      <c r="EH1347" s="8"/>
      <c r="EI1347" s="8"/>
      <c r="EJ1347" s="8"/>
      <c r="EK1347" s="8"/>
      <c r="EL1347" s="8"/>
      <c r="EM1347" s="8"/>
      <c r="EN1347" s="8"/>
      <c r="EO1347" s="8"/>
      <c r="EP1347" s="8"/>
      <c r="EQ1347" s="8"/>
      <c r="ER1347" s="8"/>
      <c r="ES1347" s="8"/>
      <c r="ET1347" s="8"/>
      <c r="EU1347" s="8"/>
      <c r="EV1347" s="8"/>
      <c r="EW1347" s="8"/>
      <c r="EX1347" s="8"/>
      <c r="EY1347" s="8"/>
      <c r="EZ1347" s="8"/>
      <c r="FA1347" s="8"/>
      <c r="FB1347" s="8"/>
      <c r="FC1347" s="8"/>
      <c r="FD1347" s="8"/>
      <c r="FE1347" s="8"/>
      <c r="FF1347" s="8"/>
      <c r="FG1347" s="8"/>
      <c r="FH1347" s="8"/>
      <c r="FI1347" s="8"/>
      <c r="FJ1347" s="8"/>
      <c r="FK1347" s="8"/>
      <c r="FL1347" s="8"/>
      <c r="FM1347" s="8"/>
      <c r="FN1347" s="8"/>
      <c r="FO1347" s="8"/>
      <c r="FP1347" s="8"/>
      <c r="FQ1347" s="8"/>
      <c r="FR1347" s="8"/>
      <c r="FS1347" s="8"/>
      <c r="FT1347" s="8"/>
      <c r="FU1347" s="8"/>
      <c r="FV1347" s="8"/>
      <c r="FW1347" s="8"/>
      <c r="FX1347" s="8"/>
      <c r="FY1347" s="8"/>
      <c r="FZ1347" s="8"/>
      <c r="GA1347" s="8"/>
      <c r="GB1347" s="8"/>
      <c r="GC1347" s="8"/>
      <c r="GD1347" s="8"/>
      <c r="GE1347" s="8"/>
      <c r="GF1347" s="8"/>
      <c r="GG1347" s="8"/>
      <c r="GH1347" s="8"/>
      <c r="GI1347" s="8"/>
      <c r="GJ1347" s="8"/>
      <c r="GK1347" s="8"/>
      <c r="GL1347" s="8"/>
      <c r="GM1347" s="8"/>
      <c r="GN1347" s="8"/>
      <c r="GO1347" s="8"/>
      <c r="GP1347" s="8"/>
      <c r="GQ1347" s="8"/>
      <c r="GR1347" s="8"/>
      <c r="GS1347" s="8"/>
      <c r="GT1347" s="8"/>
      <c r="GU1347" s="8"/>
      <c r="GV1347" s="8"/>
      <c r="GW1347" s="8"/>
      <c r="GX1347" s="8"/>
      <c r="GY1347" s="8"/>
      <c r="GZ1347" s="8"/>
      <c r="HA1347" s="8"/>
      <c r="HB1347" s="8"/>
      <c r="HC1347" s="8"/>
      <c r="HD1347" s="8"/>
      <c r="HE1347" s="8"/>
      <c r="HF1347" s="8"/>
      <c r="HG1347" s="8"/>
      <c r="HH1347" s="8"/>
      <c r="HI1347" s="8"/>
      <c r="HJ1347" s="8"/>
      <c r="HK1347" s="8"/>
      <c r="HL1347" s="8"/>
      <c r="HM1347" s="8"/>
      <c r="HN1347" s="8"/>
      <c r="HO1347" s="8"/>
      <c r="HP1347" s="8"/>
      <c r="HQ1347" s="8"/>
      <c r="HR1347" s="8"/>
      <c r="HS1347" s="8"/>
      <c r="HT1347" s="8"/>
      <c r="HU1347" s="8"/>
      <c r="HV1347" s="8"/>
      <c r="HW1347" s="8"/>
      <c r="HX1347" s="8"/>
      <c r="HY1347" s="8"/>
      <c r="HZ1347" s="8"/>
      <c r="IA1347" s="8"/>
      <c r="IB1347" s="8"/>
      <c r="IC1347" s="8"/>
      <c r="ID1347" s="8"/>
      <c r="IE1347" s="8"/>
      <c r="IF1347" s="8"/>
    </row>
    <row r="1348" spans="1:240">
      <c r="A1348" s="14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8"/>
      <c r="BS1348" s="8"/>
      <c r="BT1348" s="8"/>
      <c r="BU1348" s="8"/>
      <c r="BV1348" s="8"/>
      <c r="BW1348" s="8"/>
      <c r="BX1348" s="8"/>
      <c r="BY1348" s="8"/>
      <c r="BZ1348" s="8"/>
      <c r="CA1348" s="8"/>
      <c r="CB1348" s="8"/>
      <c r="CC1348" s="8"/>
      <c r="CD1348" s="8"/>
      <c r="CE1348" s="8"/>
      <c r="CF1348" s="8"/>
      <c r="CG1348" s="8"/>
      <c r="CH1348" s="8"/>
      <c r="CI1348" s="8"/>
      <c r="CJ1348" s="8"/>
      <c r="CK1348" s="8"/>
      <c r="CL1348" s="8"/>
      <c r="CM1348" s="8"/>
      <c r="CN1348" s="8"/>
      <c r="CO1348" s="8"/>
      <c r="CP1348" s="8"/>
      <c r="CQ1348" s="8"/>
      <c r="CR1348" s="8"/>
      <c r="CS1348" s="8"/>
      <c r="CT1348" s="8"/>
      <c r="CU1348" s="8"/>
      <c r="CV1348" s="8"/>
      <c r="CW1348" s="8"/>
      <c r="CX1348" s="8"/>
      <c r="CY1348" s="8"/>
      <c r="CZ1348" s="8"/>
      <c r="DA1348" s="8"/>
      <c r="DB1348" s="8"/>
      <c r="DC1348" s="8"/>
      <c r="DD1348" s="8"/>
      <c r="DE1348" s="8"/>
      <c r="DF1348" s="8"/>
      <c r="DG1348" s="8"/>
      <c r="DH1348" s="8"/>
      <c r="DI1348" s="8"/>
      <c r="DJ1348" s="8"/>
      <c r="DK1348" s="8"/>
      <c r="DL1348" s="8"/>
      <c r="DM1348" s="8"/>
      <c r="DN1348" s="8"/>
      <c r="DO1348" s="8"/>
      <c r="DP1348" s="8"/>
      <c r="DQ1348" s="8"/>
      <c r="DR1348" s="8"/>
      <c r="DS1348" s="8"/>
      <c r="DT1348" s="8"/>
      <c r="DU1348" s="8"/>
      <c r="DV1348" s="8"/>
      <c r="DW1348" s="8"/>
      <c r="DX1348" s="8"/>
      <c r="DY1348" s="8"/>
      <c r="DZ1348" s="8"/>
      <c r="EA1348" s="8"/>
      <c r="EB1348" s="8"/>
      <c r="EC1348" s="8"/>
      <c r="ED1348" s="8"/>
      <c r="EE1348" s="8"/>
      <c r="EF1348" s="8"/>
      <c r="EG1348" s="8"/>
      <c r="EH1348" s="8"/>
      <c r="EI1348" s="8"/>
      <c r="EJ1348" s="8"/>
      <c r="EK1348" s="8"/>
      <c r="EL1348" s="8"/>
      <c r="EM1348" s="8"/>
      <c r="EN1348" s="8"/>
      <c r="EO1348" s="8"/>
      <c r="EP1348" s="8"/>
      <c r="EQ1348" s="8"/>
      <c r="ER1348" s="8"/>
      <c r="ES1348" s="8"/>
      <c r="ET1348" s="8"/>
      <c r="EU1348" s="8"/>
      <c r="EV1348" s="8"/>
      <c r="EW1348" s="8"/>
      <c r="EX1348" s="8"/>
      <c r="EY1348" s="8"/>
      <c r="EZ1348" s="8"/>
      <c r="FA1348" s="8"/>
      <c r="FB1348" s="8"/>
      <c r="FC1348" s="8"/>
      <c r="FD1348" s="8"/>
      <c r="FE1348" s="8"/>
      <c r="FF1348" s="8"/>
      <c r="FG1348" s="8"/>
      <c r="FH1348" s="8"/>
      <c r="FI1348" s="8"/>
      <c r="FJ1348" s="8"/>
      <c r="FK1348" s="8"/>
      <c r="FL1348" s="8"/>
      <c r="FM1348" s="8"/>
      <c r="FN1348" s="8"/>
      <c r="FO1348" s="8"/>
      <c r="FP1348" s="8"/>
      <c r="FQ1348" s="8"/>
      <c r="FR1348" s="8"/>
      <c r="FS1348" s="8"/>
      <c r="FT1348" s="8"/>
      <c r="FU1348" s="8"/>
      <c r="FV1348" s="8"/>
      <c r="FW1348" s="8"/>
      <c r="FX1348" s="8"/>
      <c r="FY1348" s="8"/>
      <c r="FZ1348" s="8"/>
      <c r="GA1348" s="8"/>
      <c r="GB1348" s="8"/>
      <c r="GC1348" s="8"/>
      <c r="GD1348" s="8"/>
      <c r="GE1348" s="8"/>
      <c r="GF1348" s="8"/>
      <c r="GG1348" s="8"/>
      <c r="GH1348" s="8"/>
      <c r="GI1348" s="8"/>
      <c r="GJ1348" s="8"/>
      <c r="GK1348" s="8"/>
      <c r="GL1348" s="8"/>
      <c r="GM1348" s="8"/>
      <c r="GN1348" s="8"/>
      <c r="GO1348" s="8"/>
      <c r="GP1348" s="8"/>
      <c r="GQ1348" s="8"/>
      <c r="GR1348" s="8"/>
      <c r="GS1348" s="8"/>
      <c r="GT1348" s="8"/>
      <c r="GU1348" s="8"/>
      <c r="GV1348" s="8"/>
      <c r="GW1348" s="8"/>
      <c r="GX1348" s="8"/>
      <c r="GY1348" s="8"/>
      <c r="GZ1348" s="8"/>
      <c r="HA1348" s="8"/>
      <c r="HB1348" s="8"/>
      <c r="HC1348" s="8"/>
      <c r="HD1348" s="8"/>
      <c r="HE1348" s="8"/>
      <c r="HF1348" s="8"/>
      <c r="HG1348" s="8"/>
      <c r="HH1348" s="8"/>
      <c r="HI1348" s="8"/>
      <c r="HJ1348" s="8"/>
      <c r="HK1348" s="8"/>
      <c r="HL1348" s="8"/>
      <c r="HM1348" s="8"/>
      <c r="HN1348" s="8"/>
      <c r="HO1348" s="8"/>
      <c r="HP1348" s="8"/>
      <c r="HQ1348" s="8"/>
      <c r="HR1348" s="8"/>
      <c r="HS1348" s="8"/>
      <c r="HT1348" s="8"/>
      <c r="HU1348" s="8"/>
      <c r="HV1348" s="8"/>
      <c r="HW1348" s="8"/>
      <c r="HX1348" s="8"/>
      <c r="HY1348" s="8"/>
      <c r="HZ1348" s="8"/>
      <c r="IA1348" s="8"/>
      <c r="IB1348" s="8"/>
      <c r="IC1348" s="8"/>
      <c r="ID1348" s="8"/>
      <c r="IE1348" s="8"/>
      <c r="IF1348" s="8"/>
    </row>
    <row r="1349" spans="1:240">
      <c r="A1349" s="14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8"/>
      <c r="BS1349" s="8"/>
      <c r="BT1349" s="8"/>
      <c r="BU1349" s="8"/>
      <c r="BV1349" s="8"/>
      <c r="BW1349" s="8"/>
      <c r="BX1349" s="8"/>
      <c r="BY1349" s="8"/>
      <c r="BZ1349" s="8"/>
      <c r="CA1349" s="8"/>
      <c r="CB1349" s="8"/>
      <c r="CC1349" s="8"/>
      <c r="CD1349" s="8"/>
      <c r="CE1349" s="8"/>
      <c r="CF1349" s="8"/>
      <c r="CG1349" s="8"/>
      <c r="CH1349" s="8"/>
      <c r="CI1349" s="8"/>
      <c r="CJ1349" s="8"/>
      <c r="CK1349" s="8"/>
      <c r="CL1349" s="8"/>
      <c r="CM1349" s="8"/>
      <c r="CN1349" s="8"/>
      <c r="CO1349" s="8"/>
      <c r="CP1349" s="8"/>
      <c r="CQ1349" s="8"/>
      <c r="CR1349" s="8"/>
      <c r="CS1349" s="8"/>
      <c r="CT1349" s="8"/>
      <c r="CU1349" s="8"/>
      <c r="CV1349" s="8"/>
      <c r="CW1349" s="8"/>
      <c r="CX1349" s="8"/>
      <c r="CY1349" s="8"/>
      <c r="CZ1349" s="8"/>
      <c r="DA1349" s="8"/>
      <c r="DB1349" s="8"/>
      <c r="DC1349" s="8"/>
      <c r="DD1349" s="8"/>
      <c r="DE1349" s="8"/>
      <c r="DF1349" s="8"/>
      <c r="DG1349" s="8"/>
      <c r="DH1349" s="8"/>
      <c r="DI1349" s="8"/>
      <c r="DJ1349" s="8"/>
      <c r="DK1349" s="8"/>
      <c r="DL1349" s="8"/>
      <c r="DM1349" s="8"/>
      <c r="DN1349" s="8"/>
      <c r="DO1349" s="8"/>
      <c r="DP1349" s="8"/>
      <c r="DQ1349" s="8"/>
      <c r="DR1349" s="8"/>
      <c r="DS1349" s="8"/>
      <c r="DT1349" s="8"/>
      <c r="DU1349" s="8"/>
      <c r="DV1349" s="8"/>
      <c r="DW1349" s="8"/>
      <c r="DX1349" s="8"/>
      <c r="DY1349" s="8"/>
      <c r="DZ1349" s="8"/>
      <c r="EA1349" s="8"/>
      <c r="EB1349" s="8"/>
      <c r="EC1349" s="8"/>
      <c r="ED1349" s="8"/>
      <c r="EE1349" s="8"/>
      <c r="EF1349" s="8"/>
      <c r="EG1349" s="8"/>
      <c r="EH1349" s="8"/>
      <c r="EI1349" s="8"/>
      <c r="EJ1349" s="8"/>
      <c r="EK1349" s="8"/>
      <c r="EL1349" s="8"/>
      <c r="EM1349" s="8"/>
      <c r="EN1349" s="8"/>
      <c r="EO1349" s="8"/>
      <c r="EP1349" s="8"/>
      <c r="EQ1349" s="8"/>
      <c r="ER1349" s="8"/>
      <c r="ES1349" s="8"/>
      <c r="ET1349" s="8"/>
      <c r="EU1349" s="8"/>
      <c r="EV1349" s="8"/>
      <c r="EW1349" s="8"/>
      <c r="EX1349" s="8"/>
      <c r="EY1349" s="8"/>
      <c r="EZ1349" s="8"/>
      <c r="FA1349" s="8"/>
      <c r="FB1349" s="8"/>
      <c r="FC1349" s="8"/>
      <c r="FD1349" s="8"/>
      <c r="FE1349" s="8"/>
      <c r="FF1349" s="8"/>
      <c r="FG1349" s="8"/>
      <c r="FH1349" s="8"/>
      <c r="FI1349" s="8"/>
      <c r="FJ1349" s="8"/>
      <c r="FK1349" s="8"/>
      <c r="FL1349" s="8"/>
      <c r="FM1349" s="8"/>
      <c r="FN1349" s="8"/>
      <c r="FO1349" s="8"/>
      <c r="FP1349" s="8"/>
      <c r="FQ1349" s="8"/>
      <c r="FR1349" s="8"/>
      <c r="FS1349" s="8"/>
      <c r="FT1349" s="8"/>
      <c r="FU1349" s="8"/>
      <c r="FV1349" s="8"/>
      <c r="FW1349" s="8"/>
      <c r="FX1349" s="8"/>
      <c r="FY1349" s="8"/>
      <c r="FZ1349" s="8"/>
      <c r="GA1349" s="8"/>
      <c r="GB1349" s="8"/>
      <c r="GC1349" s="8"/>
      <c r="GD1349" s="8"/>
      <c r="GE1349" s="8"/>
      <c r="GF1349" s="8"/>
      <c r="GG1349" s="8"/>
      <c r="GH1349" s="8"/>
      <c r="GI1349" s="8"/>
      <c r="GJ1349" s="8"/>
      <c r="GK1349" s="8"/>
      <c r="GL1349" s="8"/>
      <c r="GM1349" s="8"/>
      <c r="GN1349" s="8"/>
      <c r="GO1349" s="8"/>
      <c r="GP1349" s="8"/>
      <c r="GQ1349" s="8"/>
      <c r="GR1349" s="8"/>
      <c r="GS1349" s="8"/>
      <c r="GT1349" s="8"/>
      <c r="GU1349" s="8"/>
      <c r="GV1349" s="8"/>
      <c r="GW1349" s="8"/>
      <c r="GX1349" s="8"/>
      <c r="GY1349" s="8"/>
      <c r="GZ1349" s="8"/>
      <c r="HA1349" s="8"/>
      <c r="HB1349" s="8"/>
      <c r="HC1349" s="8"/>
      <c r="HD1349" s="8"/>
      <c r="HE1349" s="8"/>
      <c r="HF1349" s="8"/>
      <c r="HG1349" s="8"/>
      <c r="HH1349" s="8"/>
      <c r="HI1349" s="8"/>
      <c r="HJ1349" s="8"/>
      <c r="HK1349" s="8"/>
      <c r="HL1349" s="8"/>
      <c r="HM1349" s="8"/>
      <c r="HN1349" s="8"/>
      <c r="HO1349" s="8"/>
      <c r="HP1349" s="8"/>
      <c r="HQ1349" s="8"/>
      <c r="HR1349" s="8"/>
      <c r="HS1349" s="8"/>
      <c r="HT1349" s="8"/>
      <c r="HU1349" s="8"/>
      <c r="HV1349" s="8"/>
      <c r="HW1349" s="8"/>
      <c r="HX1349" s="8"/>
      <c r="HY1349" s="8"/>
      <c r="HZ1349" s="8"/>
      <c r="IA1349" s="8"/>
      <c r="IB1349" s="8"/>
      <c r="IC1349" s="8"/>
      <c r="ID1349" s="8"/>
      <c r="IE1349" s="8"/>
      <c r="IF1349" s="8"/>
    </row>
    <row r="1350" spans="1:240">
      <c r="A1350" s="14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8"/>
      <c r="BS1350" s="8"/>
      <c r="BT1350" s="8"/>
      <c r="BU1350" s="8"/>
      <c r="BV1350" s="8"/>
      <c r="BW1350" s="8"/>
      <c r="BX1350" s="8"/>
      <c r="BY1350" s="8"/>
      <c r="BZ1350" s="8"/>
      <c r="CA1350" s="8"/>
      <c r="CB1350" s="8"/>
      <c r="CC1350" s="8"/>
      <c r="CD1350" s="8"/>
      <c r="CE1350" s="8"/>
      <c r="CF1350" s="8"/>
      <c r="CG1350" s="8"/>
      <c r="CH1350" s="8"/>
      <c r="CI1350" s="8"/>
      <c r="CJ1350" s="8"/>
      <c r="CK1350" s="8"/>
      <c r="CL1350" s="8"/>
      <c r="CM1350" s="8"/>
      <c r="CN1350" s="8"/>
      <c r="CO1350" s="8"/>
      <c r="CP1350" s="8"/>
      <c r="CQ1350" s="8"/>
      <c r="CR1350" s="8"/>
      <c r="CS1350" s="8"/>
      <c r="CT1350" s="8"/>
      <c r="CU1350" s="8"/>
      <c r="CV1350" s="8"/>
      <c r="CW1350" s="8"/>
      <c r="CX1350" s="8"/>
      <c r="CY1350" s="8"/>
      <c r="CZ1350" s="8"/>
      <c r="DA1350" s="8"/>
      <c r="DB1350" s="8"/>
      <c r="DC1350" s="8"/>
      <c r="DD1350" s="8"/>
      <c r="DE1350" s="8"/>
      <c r="DF1350" s="8"/>
      <c r="DG1350" s="8"/>
      <c r="DH1350" s="8"/>
      <c r="DI1350" s="8"/>
      <c r="DJ1350" s="8"/>
      <c r="DK1350" s="8"/>
      <c r="DL1350" s="8"/>
      <c r="DM1350" s="8"/>
      <c r="DN1350" s="8"/>
      <c r="DO1350" s="8"/>
      <c r="DP1350" s="8"/>
      <c r="DQ1350" s="8"/>
      <c r="DR1350" s="8"/>
      <c r="DS1350" s="8"/>
      <c r="DT1350" s="8"/>
      <c r="DU1350" s="8"/>
      <c r="DV1350" s="8"/>
      <c r="DW1350" s="8"/>
      <c r="DX1350" s="8"/>
      <c r="DY1350" s="8"/>
      <c r="DZ1350" s="8"/>
      <c r="EA1350" s="8"/>
      <c r="EB1350" s="8"/>
      <c r="EC1350" s="8"/>
      <c r="ED1350" s="8"/>
      <c r="EE1350" s="8"/>
      <c r="EF1350" s="8"/>
      <c r="EG1350" s="8"/>
      <c r="EH1350" s="8"/>
      <c r="EI1350" s="8"/>
      <c r="EJ1350" s="8"/>
      <c r="EK1350" s="8"/>
      <c r="EL1350" s="8"/>
      <c r="EM1350" s="8"/>
      <c r="EN1350" s="8"/>
      <c r="EO1350" s="8"/>
      <c r="EP1350" s="8"/>
      <c r="EQ1350" s="8"/>
      <c r="ER1350" s="8"/>
      <c r="ES1350" s="8"/>
      <c r="ET1350" s="8"/>
      <c r="EU1350" s="8"/>
      <c r="EV1350" s="8"/>
      <c r="EW1350" s="8"/>
      <c r="EX1350" s="8"/>
      <c r="EY1350" s="8"/>
      <c r="EZ1350" s="8"/>
      <c r="FA1350" s="8"/>
      <c r="FB1350" s="8"/>
      <c r="FC1350" s="8"/>
      <c r="FD1350" s="8"/>
      <c r="FE1350" s="8"/>
      <c r="FF1350" s="8"/>
      <c r="FG1350" s="8"/>
      <c r="FH1350" s="8"/>
      <c r="FI1350" s="8"/>
      <c r="FJ1350" s="8"/>
      <c r="FK1350" s="8"/>
      <c r="FL1350" s="8"/>
      <c r="FM1350" s="8"/>
      <c r="FN1350" s="8"/>
      <c r="FO1350" s="8"/>
      <c r="FP1350" s="8"/>
      <c r="FQ1350" s="8"/>
      <c r="FR1350" s="8"/>
      <c r="FS1350" s="8"/>
      <c r="FT1350" s="8"/>
      <c r="FU1350" s="8"/>
      <c r="FV1350" s="8"/>
      <c r="FW1350" s="8"/>
      <c r="FX1350" s="8"/>
      <c r="FY1350" s="8"/>
      <c r="FZ1350" s="8"/>
      <c r="GA1350" s="8"/>
      <c r="GB1350" s="8"/>
      <c r="GC1350" s="8"/>
      <c r="GD1350" s="8"/>
      <c r="GE1350" s="8"/>
      <c r="GF1350" s="8"/>
      <c r="GG1350" s="8"/>
      <c r="GH1350" s="8"/>
      <c r="GI1350" s="8"/>
      <c r="GJ1350" s="8"/>
      <c r="GK1350" s="8"/>
      <c r="GL1350" s="8"/>
      <c r="GM1350" s="8"/>
      <c r="GN1350" s="8"/>
      <c r="GO1350" s="8"/>
      <c r="GP1350" s="8"/>
      <c r="GQ1350" s="8"/>
      <c r="GR1350" s="8"/>
      <c r="GS1350" s="8"/>
      <c r="GT1350" s="8"/>
      <c r="GU1350" s="8"/>
      <c r="GV1350" s="8"/>
      <c r="GW1350" s="8"/>
      <c r="GX1350" s="8"/>
      <c r="GY1350" s="8"/>
      <c r="GZ1350" s="8"/>
      <c r="HA1350" s="8"/>
      <c r="HB1350" s="8"/>
      <c r="HC1350" s="8"/>
      <c r="HD1350" s="8"/>
      <c r="HE1350" s="8"/>
      <c r="HF1350" s="8"/>
      <c r="HG1350" s="8"/>
      <c r="HH1350" s="8"/>
      <c r="HI1350" s="8"/>
      <c r="HJ1350" s="8"/>
      <c r="HK1350" s="8"/>
      <c r="HL1350" s="8"/>
      <c r="HM1350" s="8"/>
      <c r="HN1350" s="8"/>
      <c r="HO1350" s="8"/>
      <c r="HP1350" s="8"/>
      <c r="HQ1350" s="8"/>
      <c r="HR1350" s="8"/>
      <c r="HS1350" s="8"/>
      <c r="HT1350" s="8"/>
      <c r="HU1350" s="8"/>
      <c r="HV1350" s="8"/>
      <c r="HW1350" s="8"/>
      <c r="HX1350" s="8"/>
      <c r="HY1350" s="8"/>
      <c r="HZ1350" s="8"/>
      <c r="IA1350" s="8"/>
      <c r="IB1350" s="8"/>
      <c r="IC1350" s="8"/>
      <c r="ID1350" s="8"/>
      <c r="IE1350" s="8"/>
      <c r="IF1350" s="8"/>
    </row>
    <row r="1351" spans="1:240">
      <c r="A1351" s="14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8"/>
      <c r="AP1351" s="8"/>
      <c r="AQ1351" s="8"/>
      <c r="AR1351" s="8"/>
      <c r="AS1351" s="8"/>
      <c r="AT1351" s="8"/>
      <c r="AU1351" s="8"/>
      <c r="AV1351" s="8"/>
      <c r="AW1351" s="8"/>
      <c r="AX1351" s="8"/>
      <c r="AY1351" s="8"/>
      <c r="AZ1351" s="8"/>
      <c r="BA1351" s="8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8"/>
      <c r="BS1351" s="8"/>
      <c r="BT1351" s="8"/>
      <c r="BU1351" s="8"/>
      <c r="BV1351" s="8"/>
      <c r="BW1351" s="8"/>
      <c r="BX1351" s="8"/>
      <c r="BY1351" s="8"/>
      <c r="BZ1351" s="8"/>
      <c r="CA1351" s="8"/>
      <c r="CB1351" s="8"/>
      <c r="CC1351" s="8"/>
      <c r="CD1351" s="8"/>
      <c r="CE1351" s="8"/>
      <c r="CF1351" s="8"/>
      <c r="CG1351" s="8"/>
      <c r="CH1351" s="8"/>
      <c r="CI1351" s="8"/>
      <c r="CJ1351" s="8"/>
      <c r="CK1351" s="8"/>
      <c r="CL1351" s="8"/>
      <c r="CM1351" s="8"/>
      <c r="CN1351" s="8"/>
      <c r="CO1351" s="8"/>
      <c r="CP1351" s="8"/>
      <c r="CQ1351" s="8"/>
      <c r="CR1351" s="8"/>
      <c r="CS1351" s="8"/>
      <c r="CT1351" s="8"/>
      <c r="CU1351" s="8"/>
      <c r="CV1351" s="8"/>
      <c r="CW1351" s="8"/>
      <c r="CX1351" s="8"/>
      <c r="CY1351" s="8"/>
      <c r="CZ1351" s="8"/>
      <c r="DA1351" s="8"/>
      <c r="DB1351" s="8"/>
      <c r="DC1351" s="8"/>
      <c r="DD1351" s="8"/>
      <c r="DE1351" s="8"/>
      <c r="DF1351" s="8"/>
      <c r="DG1351" s="8"/>
      <c r="DH1351" s="8"/>
      <c r="DI1351" s="8"/>
      <c r="DJ1351" s="8"/>
      <c r="DK1351" s="8"/>
      <c r="DL1351" s="8"/>
      <c r="DM1351" s="8"/>
      <c r="DN1351" s="8"/>
      <c r="DO1351" s="8"/>
      <c r="DP1351" s="8"/>
      <c r="DQ1351" s="8"/>
      <c r="DR1351" s="8"/>
      <c r="DS1351" s="8"/>
      <c r="DT1351" s="8"/>
      <c r="DU1351" s="8"/>
      <c r="DV1351" s="8"/>
      <c r="DW1351" s="8"/>
      <c r="DX1351" s="8"/>
      <c r="DY1351" s="8"/>
      <c r="DZ1351" s="8"/>
      <c r="EA1351" s="8"/>
      <c r="EB1351" s="8"/>
      <c r="EC1351" s="8"/>
      <c r="ED1351" s="8"/>
      <c r="EE1351" s="8"/>
      <c r="EF1351" s="8"/>
      <c r="EG1351" s="8"/>
      <c r="EH1351" s="8"/>
      <c r="EI1351" s="8"/>
      <c r="EJ1351" s="8"/>
      <c r="EK1351" s="8"/>
      <c r="EL1351" s="8"/>
      <c r="EM1351" s="8"/>
      <c r="EN1351" s="8"/>
      <c r="EO1351" s="8"/>
      <c r="EP1351" s="8"/>
      <c r="EQ1351" s="8"/>
      <c r="ER1351" s="8"/>
      <c r="ES1351" s="8"/>
      <c r="ET1351" s="8"/>
      <c r="EU1351" s="8"/>
      <c r="EV1351" s="8"/>
      <c r="EW1351" s="8"/>
      <c r="EX1351" s="8"/>
      <c r="EY1351" s="8"/>
      <c r="EZ1351" s="8"/>
      <c r="FA1351" s="8"/>
      <c r="FB1351" s="8"/>
      <c r="FC1351" s="8"/>
      <c r="FD1351" s="8"/>
      <c r="FE1351" s="8"/>
      <c r="FF1351" s="8"/>
      <c r="FG1351" s="8"/>
      <c r="FH1351" s="8"/>
      <c r="FI1351" s="8"/>
      <c r="FJ1351" s="8"/>
      <c r="FK1351" s="8"/>
      <c r="FL1351" s="8"/>
      <c r="FM1351" s="8"/>
      <c r="FN1351" s="8"/>
      <c r="FO1351" s="8"/>
      <c r="FP1351" s="8"/>
      <c r="FQ1351" s="8"/>
      <c r="FR1351" s="8"/>
      <c r="FS1351" s="8"/>
      <c r="FT1351" s="8"/>
      <c r="FU1351" s="8"/>
      <c r="FV1351" s="8"/>
      <c r="FW1351" s="8"/>
      <c r="FX1351" s="8"/>
      <c r="FY1351" s="8"/>
      <c r="FZ1351" s="8"/>
      <c r="GA1351" s="8"/>
      <c r="GB1351" s="8"/>
      <c r="GC1351" s="8"/>
      <c r="GD1351" s="8"/>
      <c r="GE1351" s="8"/>
      <c r="GF1351" s="8"/>
      <c r="GG1351" s="8"/>
      <c r="GH1351" s="8"/>
      <c r="GI1351" s="8"/>
      <c r="GJ1351" s="8"/>
      <c r="GK1351" s="8"/>
      <c r="GL1351" s="8"/>
      <c r="GM1351" s="8"/>
      <c r="GN1351" s="8"/>
      <c r="GO1351" s="8"/>
      <c r="GP1351" s="8"/>
      <c r="GQ1351" s="8"/>
      <c r="GR1351" s="8"/>
      <c r="GS1351" s="8"/>
      <c r="GT1351" s="8"/>
      <c r="GU1351" s="8"/>
      <c r="GV1351" s="8"/>
      <c r="GW1351" s="8"/>
      <c r="GX1351" s="8"/>
      <c r="GY1351" s="8"/>
      <c r="GZ1351" s="8"/>
      <c r="HA1351" s="8"/>
      <c r="HB1351" s="8"/>
      <c r="HC1351" s="8"/>
      <c r="HD1351" s="8"/>
      <c r="HE1351" s="8"/>
      <c r="HF1351" s="8"/>
      <c r="HG1351" s="8"/>
      <c r="HH1351" s="8"/>
      <c r="HI1351" s="8"/>
      <c r="HJ1351" s="8"/>
      <c r="HK1351" s="8"/>
      <c r="HL1351" s="8"/>
      <c r="HM1351" s="8"/>
      <c r="HN1351" s="8"/>
      <c r="HO1351" s="8"/>
      <c r="HP1351" s="8"/>
      <c r="HQ1351" s="8"/>
      <c r="HR1351" s="8"/>
      <c r="HS1351" s="8"/>
      <c r="HT1351" s="8"/>
      <c r="HU1351" s="8"/>
      <c r="HV1351" s="8"/>
      <c r="HW1351" s="8"/>
      <c r="HX1351" s="8"/>
      <c r="HY1351" s="8"/>
      <c r="HZ1351" s="8"/>
      <c r="IA1351" s="8"/>
      <c r="IB1351" s="8"/>
      <c r="IC1351" s="8"/>
      <c r="ID1351" s="8"/>
      <c r="IE1351" s="8"/>
      <c r="IF1351" s="8"/>
    </row>
    <row r="1352" spans="1:240">
      <c r="A1352" s="14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8"/>
      <c r="BS1352" s="8"/>
      <c r="BT1352" s="8"/>
      <c r="BU1352" s="8"/>
      <c r="BV1352" s="8"/>
      <c r="BW1352" s="8"/>
      <c r="BX1352" s="8"/>
      <c r="BY1352" s="8"/>
      <c r="BZ1352" s="8"/>
      <c r="CA1352" s="8"/>
      <c r="CB1352" s="8"/>
      <c r="CC1352" s="8"/>
      <c r="CD1352" s="8"/>
      <c r="CE1352" s="8"/>
      <c r="CF1352" s="8"/>
      <c r="CG1352" s="8"/>
      <c r="CH1352" s="8"/>
      <c r="CI1352" s="8"/>
      <c r="CJ1352" s="8"/>
      <c r="CK1352" s="8"/>
      <c r="CL1352" s="8"/>
      <c r="CM1352" s="8"/>
      <c r="CN1352" s="8"/>
      <c r="CO1352" s="8"/>
      <c r="CP1352" s="8"/>
      <c r="CQ1352" s="8"/>
      <c r="CR1352" s="8"/>
      <c r="CS1352" s="8"/>
      <c r="CT1352" s="8"/>
      <c r="CU1352" s="8"/>
      <c r="CV1352" s="8"/>
      <c r="CW1352" s="8"/>
      <c r="CX1352" s="8"/>
      <c r="CY1352" s="8"/>
      <c r="CZ1352" s="8"/>
      <c r="DA1352" s="8"/>
      <c r="DB1352" s="8"/>
      <c r="DC1352" s="8"/>
      <c r="DD1352" s="8"/>
      <c r="DE1352" s="8"/>
      <c r="DF1352" s="8"/>
      <c r="DG1352" s="8"/>
      <c r="DH1352" s="8"/>
      <c r="DI1352" s="8"/>
      <c r="DJ1352" s="8"/>
      <c r="DK1352" s="8"/>
      <c r="DL1352" s="8"/>
      <c r="DM1352" s="8"/>
      <c r="DN1352" s="8"/>
      <c r="DO1352" s="8"/>
      <c r="DP1352" s="8"/>
      <c r="DQ1352" s="8"/>
      <c r="DR1352" s="8"/>
      <c r="DS1352" s="8"/>
      <c r="DT1352" s="8"/>
      <c r="DU1352" s="8"/>
      <c r="DV1352" s="8"/>
      <c r="DW1352" s="8"/>
      <c r="DX1352" s="8"/>
      <c r="DY1352" s="8"/>
      <c r="DZ1352" s="8"/>
      <c r="EA1352" s="8"/>
      <c r="EB1352" s="8"/>
      <c r="EC1352" s="8"/>
      <c r="ED1352" s="8"/>
      <c r="EE1352" s="8"/>
      <c r="EF1352" s="8"/>
      <c r="EG1352" s="8"/>
      <c r="EH1352" s="8"/>
      <c r="EI1352" s="8"/>
      <c r="EJ1352" s="8"/>
      <c r="EK1352" s="8"/>
      <c r="EL1352" s="8"/>
      <c r="EM1352" s="8"/>
      <c r="EN1352" s="8"/>
      <c r="EO1352" s="8"/>
      <c r="EP1352" s="8"/>
      <c r="EQ1352" s="8"/>
      <c r="ER1352" s="8"/>
      <c r="ES1352" s="8"/>
      <c r="ET1352" s="8"/>
      <c r="EU1352" s="8"/>
      <c r="EV1352" s="8"/>
      <c r="EW1352" s="8"/>
      <c r="EX1352" s="8"/>
      <c r="EY1352" s="8"/>
      <c r="EZ1352" s="8"/>
      <c r="FA1352" s="8"/>
      <c r="FB1352" s="8"/>
      <c r="FC1352" s="8"/>
      <c r="FD1352" s="8"/>
      <c r="FE1352" s="8"/>
      <c r="FF1352" s="8"/>
      <c r="FG1352" s="8"/>
      <c r="FH1352" s="8"/>
      <c r="FI1352" s="8"/>
      <c r="FJ1352" s="8"/>
      <c r="FK1352" s="8"/>
      <c r="FL1352" s="8"/>
      <c r="FM1352" s="8"/>
      <c r="FN1352" s="8"/>
      <c r="FO1352" s="8"/>
      <c r="FP1352" s="8"/>
      <c r="FQ1352" s="8"/>
      <c r="FR1352" s="8"/>
      <c r="FS1352" s="8"/>
      <c r="FT1352" s="8"/>
      <c r="FU1352" s="8"/>
      <c r="FV1352" s="8"/>
      <c r="FW1352" s="8"/>
      <c r="FX1352" s="8"/>
      <c r="FY1352" s="8"/>
      <c r="FZ1352" s="8"/>
      <c r="GA1352" s="8"/>
      <c r="GB1352" s="8"/>
      <c r="GC1352" s="8"/>
      <c r="GD1352" s="8"/>
      <c r="GE1352" s="8"/>
      <c r="GF1352" s="8"/>
      <c r="GG1352" s="8"/>
      <c r="GH1352" s="8"/>
      <c r="GI1352" s="8"/>
      <c r="GJ1352" s="8"/>
      <c r="GK1352" s="8"/>
      <c r="GL1352" s="8"/>
      <c r="GM1352" s="8"/>
      <c r="GN1352" s="8"/>
      <c r="GO1352" s="8"/>
      <c r="GP1352" s="8"/>
      <c r="GQ1352" s="8"/>
      <c r="GR1352" s="8"/>
      <c r="GS1352" s="8"/>
      <c r="GT1352" s="8"/>
      <c r="GU1352" s="8"/>
      <c r="GV1352" s="8"/>
      <c r="GW1352" s="8"/>
      <c r="GX1352" s="8"/>
      <c r="GY1352" s="8"/>
      <c r="GZ1352" s="8"/>
      <c r="HA1352" s="8"/>
      <c r="HB1352" s="8"/>
      <c r="HC1352" s="8"/>
      <c r="HD1352" s="8"/>
      <c r="HE1352" s="8"/>
      <c r="HF1352" s="8"/>
      <c r="HG1352" s="8"/>
      <c r="HH1352" s="8"/>
      <c r="HI1352" s="8"/>
      <c r="HJ1352" s="8"/>
      <c r="HK1352" s="8"/>
      <c r="HL1352" s="8"/>
      <c r="HM1352" s="8"/>
      <c r="HN1352" s="8"/>
      <c r="HO1352" s="8"/>
      <c r="HP1352" s="8"/>
      <c r="HQ1352" s="8"/>
      <c r="HR1352" s="8"/>
      <c r="HS1352" s="8"/>
      <c r="HT1352" s="8"/>
      <c r="HU1352" s="8"/>
      <c r="HV1352" s="8"/>
      <c r="HW1352" s="8"/>
      <c r="HX1352" s="8"/>
      <c r="HY1352" s="8"/>
      <c r="HZ1352" s="8"/>
      <c r="IA1352" s="8"/>
      <c r="IB1352" s="8"/>
      <c r="IC1352" s="8"/>
      <c r="ID1352" s="8"/>
      <c r="IE1352" s="8"/>
      <c r="IF1352" s="8"/>
    </row>
    <row r="1353" spans="1:240">
      <c r="A1353" s="14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8"/>
      <c r="AP1353" s="8"/>
      <c r="AQ1353" s="8"/>
      <c r="AR1353" s="8"/>
      <c r="AS1353" s="8"/>
      <c r="AT1353" s="8"/>
      <c r="AU1353" s="8"/>
      <c r="AV1353" s="8"/>
      <c r="AW1353" s="8"/>
      <c r="AX1353" s="8"/>
      <c r="AY1353" s="8"/>
      <c r="AZ1353" s="8"/>
      <c r="BA1353" s="8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8"/>
      <c r="BS1353" s="8"/>
      <c r="BT1353" s="8"/>
      <c r="BU1353" s="8"/>
      <c r="BV1353" s="8"/>
      <c r="BW1353" s="8"/>
      <c r="BX1353" s="8"/>
      <c r="BY1353" s="8"/>
      <c r="BZ1353" s="8"/>
      <c r="CA1353" s="8"/>
      <c r="CB1353" s="8"/>
      <c r="CC1353" s="8"/>
      <c r="CD1353" s="8"/>
      <c r="CE1353" s="8"/>
      <c r="CF1353" s="8"/>
      <c r="CG1353" s="8"/>
      <c r="CH1353" s="8"/>
      <c r="CI1353" s="8"/>
      <c r="CJ1353" s="8"/>
      <c r="CK1353" s="8"/>
      <c r="CL1353" s="8"/>
      <c r="CM1353" s="8"/>
      <c r="CN1353" s="8"/>
      <c r="CO1353" s="8"/>
      <c r="CP1353" s="8"/>
      <c r="CQ1353" s="8"/>
      <c r="CR1353" s="8"/>
      <c r="CS1353" s="8"/>
      <c r="CT1353" s="8"/>
      <c r="CU1353" s="8"/>
      <c r="CV1353" s="8"/>
      <c r="CW1353" s="8"/>
      <c r="CX1353" s="8"/>
      <c r="CY1353" s="8"/>
      <c r="CZ1353" s="8"/>
      <c r="DA1353" s="8"/>
      <c r="DB1353" s="8"/>
      <c r="DC1353" s="8"/>
      <c r="DD1353" s="8"/>
      <c r="DE1353" s="8"/>
      <c r="DF1353" s="8"/>
      <c r="DG1353" s="8"/>
      <c r="DH1353" s="8"/>
      <c r="DI1353" s="8"/>
      <c r="DJ1353" s="8"/>
      <c r="DK1353" s="8"/>
      <c r="DL1353" s="8"/>
      <c r="DM1353" s="8"/>
      <c r="DN1353" s="8"/>
      <c r="DO1353" s="8"/>
      <c r="DP1353" s="8"/>
      <c r="DQ1353" s="8"/>
      <c r="DR1353" s="8"/>
      <c r="DS1353" s="8"/>
      <c r="DT1353" s="8"/>
      <c r="DU1353" s="8"/>
      <c r="DV1353" s="8"/>
      <c r="DW1353" s="8"/>
      <c r="DX1353" s="8"/>
      <c r="DY1353" s="8"/>
      <c r="DZ1353" s="8"/>
      <c r="EA1353" s="8"/>
      <c r="EB1353" s="8"/>
      <c r="EC1353" s="8"/>
      <c r="ED1353" s="8"/>
      <c r="EE1353" s="8"/>
      <c r="EF1353" s="8"/>
      <c r="EG1353" s="8"/>
      <c r="EH1353" s="8"/>
      <c r="EI1353" s="8"/>
      <c r="EJ1353" s="8"/>
      <c r="EK1353" s="8"/>
      <c r="EL1353" s="8"/>
      <c r="EM1353" s="8"/>
      <c r="EN1353" s="8"/>
      <c r="EO1353" s="8"/>
      <c r="EP1353" s="8"/>
      <c r="EQ1353" s="8"/>
      <c r="ER1353" s="8"/>
      <c r="ES1353" s="8"/>
      <c r="ET1353" s="8"/>
      <c r="EU1353" s="8"/>
      <c r="EV1353" s="8"/>
      <c r="EW1353" s="8"/>
      <c r="EX1353" s="8"/>
      <c r="EY1353" s="8"/>
      <c r="EZ1353" s="8"/>
      <c r="FA1353" s="8"/>
      <c r="FB1353" s="8"/>
      <c r="FC1353" s="8"/>
      <c r="FD1353" s="8"/>
      <c r="FE1353" s="8"/>
      <c r="FF1353" s="8"/>
      <c r="FG1353" s="8"/>
      <c r="FH1353" s="8"/>
      <c r="FI1353" s="8"/>
      <c r="FJ1353" s="8"/>
      <c r="FK1353" s="8"/>
      <c r="FL1353" s="8"/>
      <c r="FM1353" s="8"/>
      <c r="FN1353" s="8"/>
      <c r="FO1353" s="8"/>
      <c r="FP1353" s="8"/>
      <c r="FQ1353" s="8"/>
      <c r="FR1353" s="8"/>
      <c r="FS1353" s="8"/>
      <c r="FT1353" s="8"/>
      <c r="FU1353" s="8"/>
      <c r="FV1353" s="8"/>
      <c r="FW1353" s="8"/>
      <c r="FX1353" s="8"/>
      <c r="FY1353" s="8"/>
      <c r="FZ1353" s="8"/>
      <c r="GA1353" s="8"/>
      <c r="GB1353" s="8"/>
      <c r="GC1353" s="8"/>
      <c r="GD1353" s="8"/>
      <c r="GE1353" s="8"/>
      <c r="GF1353" s="8"/>
      <c r="GG1353" s="8"/>
      <c r="GH1353" s="8"/>
      <c r="GI1353" s="8"/>
      <c r="GJ1353" s="8"/>
      <c r="GK1353" s="8"/>
      <c r="GL1353" s="8"/>
      <c r="GM1353" s="8"/>
      <c r="GN1353" s="8"/>
      <c r="GO1353" s="8"/>
      <c r="GP1353" s="8"/>
      <c r="GQ1353" s="8"/>
      <c r="GR1353" s="8"/>
      <c r="GS1353" s="8"/>
      <c r="GT1353" s="8"/>
      <c r="GU1353" s="8"/>
      <c r="GV1353" s="8"/>
      <c r="GW1353" s="8"/>
      <c r="GX1353" s="8"/>
      <c r="GY1353" s="8"/>
      <c r="GZ1353" s="8"/>
      <c r="HA1353" s="8"/>
      <c r="HB1353" s="8"/>
      <c r="HC1353" s="8"/>
      <c r="HD1353" s="8"/>
      <c r="HE1353" s="8"/>
      <c r="HF1353" s="8"/>
      <c r="HG1353" s="8"/>
      <c r="HH1353" s="8"/>
      <c r="HI1353" s="8"/>
      <c r="HJ1353" s="8"/>
      <c r="HK1353" s="8"/>
      <c r="HL1353" s="8"/>
      <c r="HM1353" s="8"/>
      <c r="HN1353" s="8"/>
      <c r="HO1353" s="8"/>
      <c r="HP1353" s="8"/>
      <c r="HQ1353" s="8"/>
      <c r="HR1353" s="8"/>
      <c r="HS1353" s="8"/>
      <c r="HT1353" s="8"/>
      <c r="HU1353" s="8"/>
      <c r="HV1353" s="8"/>
      <c r="HW1353" s="8"/>
      <c r="HX1353" s="8"/>
      <c r="HY1353" s="8"/>
      <c r="HZ1353" s="8"/>
      <c r="IA1353" s="8"/>
      <c r="IB1353" s="8"/>
      <c r="IC1353" s="8"/>
      <c r="ID1353" s="8"/>
      <c r="IE1353" s="8"/>
      <c r="IF1353" s="8"/>
    </row>
    <row r="1354" spans="1:240">
      <c r="A1354" s="14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8"/>
      <c r="AP1354" s="8"/>
      <c r="AQ1354" s="8"/>
      <c r="AR1354" s="8"/>
      <c r="AS1354" s="8"/>
      <c r="AT1354" s="8"/>
      <c r="AU1354" s="8"/>
      <c r="AV1354" s="8"/>
      <c r="AW1354" s="8"/>
      <c r="AX1354" s="8"/>
      <c r="AY1354" s="8"/>
      <c r="AZ1354" s="8"/>
      <c r="BA1354" s="8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8"/>
      <c r="BS1354" s="8"/>
      <c r="BT1354" s="8"/>
      <c r="BU1354" s="8"/>
      <c r="BV1354" s="8"/>
      <c r="BW1354" s="8"/>
      <c r="BX1354" s="8"/>
      <c r="BY1354" s="8"/>
      <c r="BZ1354" s="8"/>
      <c r="CA1354" s="8"/>
      <c r="CB1354" s="8"/>
      <c r="CC1354" s="8"/>
      <c r="CD1354" s="8"/>
      <c r="CE1354" s="8"/>
      <c r="CF1354" s="8"/>
      <c r="CG1354" s="8"/>
      <c r="CH1354" s="8"/>
      <c r="CI1354" s="8"/>
      <c r="CJ1354" s="8"/>
      <c r="CK1354" s="8"/>
      <c r="CL1354" s="8"/>
      <c r="CM1354" s="8"/>
      <c r="CN1354" s="8"/>
      <c r="CO1354" s="8"/>
      <c r="CP1354" s="8"/>
      <c r="CQ1354" s="8"/>
      <c r="CR1354" s="8"/>
      <c r="CS1354" s="8"/>
      <c r="CT1354" s="8"/>
      <c r="CU1354" s="8"/>
      <c r="CV1354" s="8"/>
      <c r="CW1354" s="8"/>
      <c r="CX1354" s="8"/>
      <c r="CY1354" s="8"/>
      <c r="CZ1354" s="8"/>
      <c r="DA1354" s="8"/>
      <c r="DB1354" s="8"/>
      <c r="DC1354" s="8"/>
      <c r="DD1354" s="8"/>
      <c r="DE1354" s="8"/>
      <c r="DF1354" s="8"/>
      <c r="DG1354" s="8"/>
      <c r="DH1354" s="8"/>
      <c r="DI1354" s="8"/>
      <c r="DJ1354" s="8"/>
      <c r="DK1354" s="8"/>
      <c r="DL1354" s="8"/>
      <c r="DM1354" s="8"/>
      <c r="DN1354" s="8"/>
      <c r="DO1354" s="8"/>
      <c r="DP1354" s="8"/>
      <c r="DQ1354" s="8"/>
      <c r="DR1354" s="8"/>
      <c r="DS1354" s="8"/>
      <c r="DT1354" s="8"/>
      <c r="DU1354" s="8"/>
      <c r="DV1354" s="8"/>
      <c r="DW1354" s="8"/>
      <c r="DX1354" s="8"/>
      <c r="DY1354" s="8"/>
      <c r="DZ1354" s="8"/>
      <c r="EA1354" s="8"/>
      <c r="EB1354" s="8"/>
      <c r="EC1354" s="8"/>
      <c r="ED1354" s="8"/>
      <c r="EE1354" s="8"/>
      <c r="EF1354" s="8"/>
      <c r="EG1354" s="8"/>
      <c r="EH1354" s="8"/>
      <c r="EI1354" s="8"/>
      <c r="EJ1354" s="8"/>
      <c r="EK1354" s="8"/>
      <c r="EL1354" s="8"/>
      <c r="EM1354" s="8"/>
      <c r="EN1354" s="8"/>
      <c r="EO1354" s="8"/>
      <c r="EP1354" s="8"/>
      <c r="EQ1354" s="8"/>
      <c r="ER1354" s="8"/>
      <c r="ES1354" s="8"/>
      <c r="ET1354" s="8"/>
      <c r="EU1354" s="8"/>
      <c r="EV1354" s="8"/>
      <c r="EW1354" s="8"/>
      <c r="EX1354" s="8"/>
      <c r="EY1354" s="8"/>
      <c r="EZ1354" s="8"/>
      <c r="FA1354" s="8"/>
      <c r="FB1354" s="8"/>
      <c r="FC1354" s="8"/>
      <c r="FD1354" s="8"/>
      <c r="FE1354" s="8"/>
      <c r="FF1354" s="8"/>
      <c r="FG1354" s="8"/>
      <c r="FH1354" s="8"/>
      <c r="FI1354" s="8"/>
      <c r="FJ1354" s="8"/>
      <c r="FK1354" s="8"/>
      <c r="FL1354" s="8"/>
      <c r="FM1354" s="8"/>
      <c r="FN1354" s="8"/>
      <c r="FO1354" s="8"/>
      <c r="FP1354" s="8"/>
      <c r="FQ1354" s="8"/>
      <c r="FR1354" s="8"/>
      <c r="FS1354" s="8"/>
      <c r="FT1354" s="8"/>
      <c r="FU1354" s="8"/>
      <c r="FV1354" s="8"/>
      <c r="FW1354" s="8"/>
      <c r="FX1354" s="8"/>
      <c r="FY1354" s="8"/>
      <c r="FZ1354" s="8"/>
      <c r="GA1354" s="8"/>
      <c r="GB1354" s="8"/>
      <c r="GC1354" s="8"/>
      <c r="GD1354" s="8"/>
      <c r="GE1354" s="8"/>
      <c r="GF1354" s="8"/>
      <c r="GG1354" s="8"/>
      <c r="GH1354" s="8"/>
      <c r="GI1354" s="8"/>
      <c r="GJ1354" s="8"/>
      <c r="GK1354" s="8"/>
      <c r="GL1354" s="8"/>
      <c r="GM1354" s="8"/>
      <c r="GN1354" s="8"/>
      <c r="GO1354" s="8"/>
      <c r="GP1354" s="8"/>
      <c r="GQ1354" s="8"/>
      <c r="GR1354" s="8"/>
      <c r="GS1354" s="8"/>
      <c r="GT1354" s="8"/>
      <c r="GU1354" s="8"/>
      <c r="GV1354" s="8"/>
      <c r="GW1354" s="8"/>
      <c r="GX1354" s="8"/>
      <c r="GY1354" s="8"/>
      <c r="GZ1354" s="8"/>
      <c r="HA1354" s="8"/>
      <c r="HB1354" s="8"/>
      <c r="HC1354" s="8"/>
      <c r="HD1354" s="8"/>
      <c r="HE1354" s="8"/>
      <c r="HF1354" s="8"/>
      <c r="HG1354" s="8"/>
      <c r="HH1354" s="8"/>
      <c r="HI1354" s="8"/>
      <c r="HJ1354" s="8"/>
      <c r="HK1354" s="8"/>
      <c r="HL1354" s="8"/>
      <c r="HM1354" s="8"/>
      <c r="HN1354" s="8"/>
      <c r="HO1354" s="8"/>
      <c r="HP1354" s="8"/>
      <c r="HQ1354" s="8"/>
      <c r="HR1354" s="8"/>
      <c r="HS1354" s="8"/>
      <c r="HT1354" s="8"/>
      <c r="HU1354" s="8"/>
      <c r="HV1354" s="8"/>
      <c r="HW1354" s="8"/>
      <c r="HX1354" s="8"/>
      <c r="HY1354" s="8"/>
      <c r="HZ1354" s="8"/>
      <c r="IA1354" s="8"/>
      <c r="IB1354" s="8"/>
      <c r="IC1354" s="8"/>
      <c r="ID1354" s="8"/>
      <c r="IE1354" s="8"/>
      <c r="IF1354" s="8"/>
    </row>
    <row r="1355" spans="1:240">
      <c r="A1355" s="14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8"/>
      <c r="AP1355" s="8"/>
      <c r="AQ1355" s="8"/>
      <c r="AR1355" s="8"/>
      <c r="AS1355" s="8"/>
      <c r="AT1355" s="8"/>
      <c r="AU1355" s="8"/>
      <c r="AV1355" s="8"/>
      <c r="AW1355" s="8"/>
      <c r="AX1355" s="8"/>
      <c r="AY1355" s="8"/>
      <c r="AZ1355" s="8"/>
      <c r="BA1355" s="8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8"/>
      <c r="BS1355" s="8"/>
      <c r="BT1355" s="8"/>
      <c r="BU1355" s="8"/>
      <c r="BV1355" s="8"/>
      <c r="BW1355" s="8"/>
      <c r="BX1355" s="8"/>
      <c r="BY1355" s="8"/>
      <c r="BZ1355" s="8"/>
      <c r="CA1355" s="8"/>
      <c r="CB1355" s="8"/>
      <c r="CC1355" s="8"/>
      <c r="CD1355" s="8"/>
      <c r="CE1355" s="8"/>
      <c r="CF1355" s="8"/>
      <c r="CG1355" s="8"/>
      <c r="CH1355" s="8"/>
      <c r="CI1355" s="8"/>
      <c r="CJ1355" s="8"/>
      <c r="CK1355" s="8"/>
      <c r="CL1355" s="8"/>
      <c r="CM1355" s="8"/>
      <c r="CN1355" s="8"/>
      <c r="CO1355" s="8"/>
      <c r="CP1355" s="8"/>
      <c r="CQ1355" s="8"/>
      <c r="CR1355" s="8"/>
      <c r="CS1355" s="8"/>
      <c r="CT1355" s="8"/>
      <c r="CU1355" s="8"/>
      <c r="CV1355" s="8"/>
      <c r="CW1355" s="8"/>
      <c r="CX1355" s="8"/>
      <c r="CY1355" s="8"/>
      <c r="CZ1355" s="8"/>
      <c r="DA1355" s="8"/>
      <c r="DB1355" s="8"/>
      <c r="DC1355" s="8"/>
      <c r="DD1355" s="8"/>
      <c r="DE1355" s="8"/>
      <c r="DF1355" s="8"/>
      <c r="DG1355" s="8"/>
      <c r="DH1355" s="8"/>
      <c r="DI1355" s="8"/>
      <c r="DJ1355" s="8"/>
      <c r="DK1355" s="8"/>
      <c r="DL1355" s="8"/>
      <c r="DM1355" s="8"/>
      <c r="DN1355" s="8"/>
      <c r="DO1355" s="8"/>
      <c r="DP1355" s="8"/>
      <c r="DQ1355" s="8"/>
      <c r="DR1355" s="8"/>
      <c r="DS1355" s="8"/>
      <c r="DT1355" s="8"/>
      <c r="DU1355" s="8"/>
      <c r="DV1355" s="8"/>
      <c r="DW1355" s="8"/>
      <c r="DX1355" s="8"/>
      <c r="DY1355" s="8"/>
      <c r="DZ1355" s="8"/>
      <c r="EA1355" s="8"/>
      <c r="EB1355" s="8"/>
      <c r="EC1355" s="8"/>
      <c r="ED1355" s="8"/>
      <c r="EE1355" s="8"/>
      <c r="EF1355" s="8"/>
      <c r="EG1355" s="8"/>
      <c r="EH1355" s="8"/>
      <c r="EI1355" s="8"/>
      <c r="EJ1355" s="8"/>
      <c r="EK1355" s="8"/>
      <c r="EL1355" s="8"/>
      <c r="EM1355" s="8"/>
      <c r="EN1355" s="8"/>
      <c r="EO1355" s="8"/>
      <c r="EP1355" s="8"/>
      <c r="EQ1355" s="8"/>
      <c r="ER1355" s="8"/>
      <c r="ES1355" s="8"/>
      <c r="ET1355" s="8"/>
      <c r="EU1355" s="8"/>
      <c r="EV1355" s="8"/>
      <c r="EW1355" s="8"/>
      <c r="EX1355" s="8"/>
      <c r="EY1355" s="8"/>
      <c r="EZ1355" s="8"/>
      <c r="FA1355" s="8"/>
      <c r="FB1355" s="8"/>
      <c r="FC1355" s="8"/>
      <c r="FD1355" s="8"/>
      <c r="FE1355" s="8"/>
      <c r="FF1355" s="8"/>
      <c r="FG1355" s="8"/>
      <c r="FH1355" s="8"/>
      <c r="FI1355" s="8"/>
      <c r="FJ1355" s="8"/>
      <c r="FK1355" s="8"/>
      <c r="FL1355" s="8"/>
      <c r="FM1355" s="8"/>
      <c r="FN1355" s="8"/>
      <c r="FO1355" s="8"/>
      <c r="FP1355" s="8"/>
      <c r="FQ1355" s="8"/>
      <c r="FR1355" s="8"/>
      <c r="FS1355" s="8"/>
      <c r="FT1355" s="8"/>
      <c r="FU1355" s="8"/>
      <c r="FV1355" s="8"/>
      <c r="FW1355" s="8"/>
      <c r="FX1355" s="8"/>
      <c r="FY1355" s="8"/>
      <c r="FZ1355" s="8"/>
      <c r="GA1355" s="8"/>
      <c r="GB1355" s="8"/>
      <c r="GC1355" s="8"/>
      <c r="GD1355" s="8"/>
      <c r="GE1355" s="8"/>
      <c r="GF1355" s="8"/>
      <c r="GG1355" s="8"/>
      <c r="GH1355" s="8"/>
      <c r="GI1355" s="8"/>
      <c r="GJ1355" s="8"/>
      <c r="GK1355" s="8"/>
      <c r="GL1355" s="8"/>
      <c r="GM1355" s="8"/>
      <c r="GN1355" s="8"/>
      <c r="GO1355" s="8"/>
      <c r="GP1355" s="8"/>
      <c r="GQ1355" s="8"/>
      <c r="GR1355" s="8"/>
      <c r="GS1355" s="8"/>
      <c r="GT1355" s="8"/>
      <c r="GU1355" s="8"/>
      <c r="GV1355" s="8"/>
      <c r="GW1355" s="8"/>
      <c r="GX1355" s="8"/>
      <c r="GY1355" s="8"/>
      <c r="GZ1355" s="8"/>
      <c r="HA1355" s="8"/>
      <c r="HB1355" s="8"/>
      <c r="HC1355" s="8"/>
      <c r="HD1355" s="8"/>
      <c r="HE1355" s="8"/>
      <c r="HF1355" s="8"/>
      <c r="HG1355" s="8"/>
      <c r="HH1355" s="8"/>
      <c r="HI1355" s="8"/>
      <c r="HJ1355" s="8"/>
      <c r="HK1355" s="8"/>
      <c r="HL1355" s="8"/>
      <c r="HM1355" s="8"/>
      <c r="HN1355" s="8"/>
      <c r="HO1355" s="8"/>
      <c r="HP1355" s="8"/>
      <c r="HQ1355" s="8"/>
      <c r="HR1355" s="8"/>
      <c r="HS1355" s="8"/>
      <c r="HT1355" s="8"/>
      <c r="HU1355" s="8"/>
      <c r="HV1355" s="8"/>
      <c r="HW1355" s="8"/>
      <c r="HX1355" s="8"/>
      <c r="HY1355" s="8"/>
      <c r="HZ1355" s="8"/>
      <c r="IA1355" s="8"/>
      <c r="IB1355" s="8"/>
      <c r="IC1355" s="8"/>
      <c r="ID1355" s="8"/>
      <c r="IE1355" s="8"/>
      <c r="IF1355" s="8"/>
    </row>
    <row r="1356" spans="1:240">
      <c r="A1356" s="14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8"/>
      <c r="AP1356" s="8"/>
      <c r="AQ1356" s="8"/>
      <c r="AR1356" s="8"/>
      <c r="AS1356" s="8"/>
      <c r="AT1356" s="8"/>
      <c r="AU1356" s="8"/>
      <c r="AV1356" s="8"/>
      <c r="AW1356" s="8"/>
      <c r="AX1356" s="8"/>
      <c r="AY1356" s="8"/>
      <c r="AZ1356" s="8"/>
      <c r="BA1356" s="8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8"/>
      <c r="BS1356" s="8"/>
      <c r="BT1356" s="8"/>
      <c r="BU1356" s="8"/>
      <c r="BV1356" s="8"/>
      <c r="BW1356" s="8"/>
      <c r="BX1356" s="8"/>
      <c r="BY1356" s="8"/>
      <c r="BZ1356" s="8"/>
      <c r="CA1356" s="8"/>
      <c r="CB1356" s="8"/>
      <c r="CC1356" s="8"/>
      <c r="CD1356" s="8"/>
      <c r="CE1356" s="8"/>
      <c r="CF1356" s="8"/>
      <c r="CG1356" s="8"/>
      <c r="CH1356" s="8"/>
      <c r="CI1356" s="8"/>
      <c r="CJ1356" s="8"/>
      <c r="CK1356" s="8"/>
      <c r="CL1356" s="8"/>
      <c r="CM1356" s="8"/>
      <c r="CN1356" s="8"/>
      <c r="CO1356" s="8"/>
      <c r="CP1356" s="8"/>
      <c r="CQ1356" s="8"/>
      <c r="CR1356" s="8"/>
      <c r="CS1356" s="8"/>
      <c r="CT1356" s="8"/>
      <c r="CU1356" s="8"/>
      <c r="CV1356" s="8"/>
      <c r="CW1356" s="8"/>
      <c r="CX1356" s="8"/>
      <c r="CY1356" s="8"/>
      <c r="CZ1356" s="8"/>
      <c r="DA1356" s="8"/>
      <c r="DB1356" s="8"/>
      <c r="DC1356" s="8"/>
      <c r="DD1356" s="8"/>
      <c r="DE1356" s="8"/>
      <c r="DF1356" s="8"/>
      <c r="DG1356" s="8"/>
      <c r="DH1356" s="8"/>
      <c r="DI1356" s="8"/>
      <c r="DJ1356" s="8"/>
      <c r="DK1356" s="8"/>
      <c r="DL1356" s="8"/>
      <c r="DM1356" s="8"/>
      <c r="DN1356" s="8"/>
      <c r="DO1356" s="8"/>
      <c r="DP1356" s="8"/>
      <c r="DQ1356" s="8"/>
      <c r="DR1356" s="8"/>
      <c r="DS1356" s="8"/>
      <c r="DT1356" s="8"/>
      <c r="DU1356" s="8"/>
      <c r="DV1356" s="8"/>
      <c r="DW1356" s="8"/>
      <c r="DX1356" s="8"/>
      <c r="DY1356" s="8"/>
      <c r="DZ1356" s="8"/>
      <c r="EA1356" s="8"/>
      <c r="EB1356" s="8"/>
      <c r="EC1356" s="8"/>
      <c r="ED1356" s="8"/>
      <c r="EE1356" s="8"/>
      <c r="EF1356" s="8"/>
      <c r="EG1356" s="8"/>
      <c r="EH1356" s="8"/>
      <c r="EI1356" s="8"/>
      <c r="EJ1356" s="8"/>
      <c r="EK1356" s="8"/>
      <c r="EL1356" s="8"/>
      <c r="EM1356" s="8"/>
      <c r="EN1356" s="8"/>
      <c r="EO1356" s="8"/>
      <c r="EP1356" s="8"/>
      <c r="EQ1356" s="8"/>
      <c r="ER1356" s="8"/>
      <c r="ES1356" s="8"/>
      <c r="ET1356" s="8"/>
      <c r="EU1356" s="8"/>
      <c r="EV1356" s="8"/>
      <c r="EW1356" s="8"/>
      <c r="EX1356" s="8"/>
      <c r="EY1356" s="8"/>
      <c r="EZ1356" s="8"/>
      <c r="FA1356" s="8"/>
      <c r="FB1356" s="8"/>
      <c r="FC1356" s="8"/>
      <c r="FD1356" s="8"/>
      <c r="FE1356" s="8"/>
      <c r="FF1356" s="8"/>
      <c r="FG1356" s="8"/>
      <c r="FH1356" s="8"/>
      <c r="FI1356" s="8"/>
      <c r="FJ1356" s="8"/>
      <c r="FK1356" s="8"/>
      <c r="FL1356" s="8"/>
      <c r="FM1356" s="8"/>
      <c r="FN1356" s="8"/>
      <c r="FO1356" s="8"/>
      <c r="FP1356" s="8"/>
      <c r="FQ1356" s="8"/>
      <c r="FR1356" s="8"/>
      <c r="FS1356" s="8"/>
      <c r="FT1356" s="8"/>
      <c r="FU1356" s="8"/>
      <c r="FV1356" s="8"/>
      <c r="FW1356" s="8"/>
      <c r="FX1356" s="8"/>
      <c r="FY1356" s="8"/>
      <c r="FZ1356" s="8"/>
      <c r="GA1356" s="8"/>
      <c r="GB1356" s="8"/>
      <c r="GC1356" s="8"/>
      <c r="GD1356" s="8"/>
      <c r="GE1356" s="8"/>
      <c r="GF1356" s="8"/>
      <c r="GG1356" s="8"/>
      <c r="GH1356" s="8"/>
      <c r="GI1356" s="8"/>
      <c r="GJ1356" s="8"/>
      <c r="GK1356" s="8"/>
      <c r="GL1356" s="8"/>
      <c r="GM1356" s="8"/>
      <c r="GN1356" s="8"/>
      <c r="GO1356" s="8"/>
      <c r="GP1356" s="8"/>
      <c r="GQ1356" s="8"/>
      <c r="GR1356" s="8"/>
      <c r="GS1356" s="8"/>
      <c r="GT1356" s="8"/>
      <c r="GU1356" s="8"/>
      <c r="GV1356" s="8"/>
      <c r="GW1356" s="8"/>
      <c r="GX1356" s="8"/>
      <c r="GY1356" s="8"/>
      <c r="GZ1356" s="8"/>
      <c r="HA1356" s="8"/>
      <c r="HB1356" s="8"/>
      <c r="HC1356" s="8"/>
      <c r="HD1356" s="8"/>
      <c r="HE1356" s="8"/>
      <c r="HF1356" s="8"/>
      <c r="HG1356" s="8"/>
      <c r="HH1356" s="8"/>
      <c r="HI1356" s="8"/>
      <c r="HJ1356" s="8"/>
      <c r="HK1356" s="8"/>
      <c r="HL1356" s="8"/>
      <c r="HM1356" s="8"/>
      <c r="HN1356" s="8"/>
      <c r="HO1356" s="8"/>
      <c r="HP1356" s="8"/>
      <c r="HQ1356" s="8"/>
      <c r="HR1356" s="8"/>
      <c r="HS1356" s="8"/>
      <c r="HT1356" s="8"/>
      <c r="HU1356" s="8"/>
      <c r="HV1356" s="8"/>
      <c r="HW1356" s="8"/>
      <c r="HX1356" s="8"/>
      <c r="HY1356" s="8"/>
      <c r="HZ1356" s="8"/>
      <c r="IA1356" s="8"/>
      <c r="IB1356" s="8"/>
      <c r="IC1356" s="8"/>
      <c r="ID1356" s="8"/>
      <c r="IE1356" s="8"/>
      <c r="IF1356" s="8"/>
    </row>
    <row r="1357" spans="1:240">
      <c r="A1357" s="14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8"/>
      <c r="BS1357" s="8"/>
      <c r="BT1357" s="8"/>
      <c r="BU1357" s="8"/>
      <c r="BV1357" s="8"/>
      <c r="BW1357" s="8"/>
      <c r="BX1357" s="8"/>
      <c r="BY1357" s="8"/>
      <c r="BZ1357" s="8"/>
      <c r="CA1357" s="8"/>
      <c r="CB1357" s="8"/>
      <c r="CC1357" s="8"/>
      <c r="CD1357" s="8"/>
      <c r="CE1357" s="8"/>
      <c r="CF1357" s="8"/>
      <c r="CG1357" s="8"/>
      <c r="CH1357" s="8"/>
      <c r="CI1357" s="8"/>
      <c r="CJ1357" s="8"/>
      <c r="CK1357" s="8"/>
      <c r="CL1357" s="8"/>
      <c r="CM1357" s="8"/>
      <c r="CN1357" s="8"/>
      <c r="CO1357" s="8"/>
      <c r="CP1357" s="8"/>
      <c r="CQ1357" s="8"/>
      <c r="CR1357" s="8"/>
      <c r="CS1357" s="8"/>
      <c r="CT1357" s="8"/>
      <c r="CU1357" s="8"/>
      <c r="CV1357" s="8"/>
      <c r="CW1357" s="8"/>
      <c r="CX1357" s="8"/>
      <c r="CY1357" s="8"/>
      <c r="CZ1357" s="8"/>
      <c r="DA1357" s="8"/>
      <c r="DB1357" s="8"/>
      <c r="DC1357" s="8"/>
      <c r="DD1357" s="8"/>
      <c r="DE1357" s="8"/>
      <c r="DF1357" s="8"/>
      <c r="DG1357" s="8"/>
      <c r="DH1357" s="8"/>
      <c r="DI1357" s="8"/>
      <c r="DJ1357" s="8"/>
      <c r="DK1357" s="8"/>
      <c r="DL1357" s="8"/>
      <c r="DM1357" s="8"/>
      <c r="DN1357" s="8"/>
      <c r="DO1357" s="8"/>
      <c r="DP1357" s="8"/>
      <c r="DQ1357" s="8"/>
      <c r="DR1357" s="8"/>
      <c r="DS1357" s="8"/>
      <c r="DT1357" s="8"/>
      <c r="DU1357" s="8"/>
      <c r="DV1357" s="8"/>
      <c r="DW1357" s="8"/>
      <c r="DX1357" s="8"/>
      <c r="DY1357" s="8"/>
      <c r="DZ1357" s="8"/>
      <c r="EA1357" s="8"/>
      <c r="EB1357" s="8"/>
      <c r="EC1357" s="8"/>
      <c r="ED1357" s="8"/>
      <c r="EE1357" s="8"/>
      <c r="EF1357" s="8"/>
      <c r="EG1357" s="8"/>
      <c r="EH1357" s="8"/>
      <c r="EI1357" s="8"/>
      <c r="EJ1357" s="8"/>
      <c r="EK1357" s="8"/>
      <c r="EL1357" s="8"/>
      <c r="EM1357" s="8"/>
      <c r="EN1357" s="8"/>
      <c r="EO1357" s="8"/>
      <c r="EP1357" s="8"/>
      <c r="EQ1357" s="8"/>
      <c r="ER1357" s="8"/>
      <c r="ES1357" s="8"/>
      <c r="ET1357" s="8"/>
      <c r="EU1357" s="8"/>
      <c r="EV1357" s="8"/>
      <c r="EW1357" s="8"/>
      <c r="EX1357" s="8"/>
      <c r="EY1357" s="8"/>
      <c r="EZ1357" s="8"/>
      <c r="FA1357" s="8"/>
      <c r="FB1357" s="8"/>
      <c r="FC1357" s="8"/>
      <c r="FD1357" s="8"/>
      <c r="FE1357" s="8"/>
      <c r="FF1357" s="8"/>
      <c r="FG1357" s="8"/>
      <c r="FH1357" s="8"/>
      <c r="FI1357" s="8"/>
      <c r="FJ1357" s="8"/>
      <c r="FK1357" s="8"/>
      <c r="FL1357" s="8"/>
      <c r="FM1357" s="8"/>
      <c r="FN1357" s="8"/>
      <c r="FO1357" s="8"/>
      <c r="FP1357" s="8"/>
      <c r="FQ1357" s="8"/>
      <c r="FR1357" s="8"/>
      <c r="FS1357" s="8"/>
      <c r="FT1357" s="8"/>
      <c r="FU1357" s="8"/>
      <c r="FV1357" s="8"/>
      <c r="FW1357" s="8"/>
      <c r="FX1357" s="8"/>
      <c r="FY1357" s="8"/>
      <c r="FZ1357" s="8"/>
      <c r="GA1357" s="8"/>
      <c r="GB1357" s="8"/>
      <c r="GC1357" s="8"/>
      <c r="GD1357" s="8"/>
      <c r="GE1357" s="8"/>
      <c r="GF1357" s="8"/>
      <c r="GG1357" s="8"/>
      <c r="GH1357" s="8"/>
      <c r="GI1357" s="8"/>
      <c r="GJ1357" s="8"/>
      <c r="GK1357" s="8"/>
      <c r="GL1357" s="8"/>
      <c r="GM1357" s="8"/>
      <c r="GN1357" s="8"/>
      <c r="GO1357" s="8"/>
      <c r="GP1357" s="8"/>
      <c r="GQ1357" s="8"/>
      <c r="GR1357" s="8"/>
      <c r="GS1357" s="8"/>
      <c r="GT1357" s="8"/>
      <c r="GU1357" s="8"/>
      <c r="GV1357" s="8"/>
      <c r="GW1357" s="8"/>
      <c r="GX1357" s="8"/>
      <c r="GY1357" s="8"/>
      <c r="GZ1357" s="8"/>
      <c r="HA1357" s="8"/>
      <c r="HB1357" s="8"/>
      <c r="HC1357" s="8"/>
      <c r="HD1357" s="8"/>
      <c r="HE1357" s="8"/>
      <c r="HF1357" s="8"/>
      <c r="HG1357" s="8"/>
      <c r="HH1357" s="8"/>
      <c r="HI1357" s="8"/>
      <c r="HJ1357" s="8"/>
      <c r="HK1357" s="8"/>
      <c r="HL1357" s="8"/>
      <c r="HM1357" s="8"/>
      <c r="HN1357" s="8"/>
      <c r="HO1357" s="8"/>
      <c r="HP1357" s="8"/>
      <c r="HQ1357" s="8"/>
      <c r="HR1357" s="8"/>
      <c r="HS1357" s="8"/>
      <c r="HT1357" s="8"/>
      <c r="HU1357" s="8"/>
      <c r="HV1357" s="8"/>
      <c r="HW1357" s="8"/>
      <c r="HX1357" s="8"/>
      <c r="HY1357" s="8"/>
      <c r="HZ1357" s="8"/>
      <c r="IA1357" s="8"/>
      <c r="IB1357" s="8"/>
      <c r="IC1357" s="8"/>
      <c r="ID1357" s="8"/>
      <c r="IE1357" s="8"/>
      <c r="IF1357" s="8"/>
    </row>
    <row r="1358" spans="1:240">
      <c r="A1358" s="14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8"/>
      <c r="BS1358" s="8"/>
      <c r="BT1358" s="8"/>
      <c r="BU1358" s="8"/>
      <c r="BV1358" s="8"/>
      <c r="BW1358" s="8"/>
      <c r="BX1358" s="8"/>
      <c r="BY1358" s="8"/>
      <c r="BZ1358" s="8"/>
      <c r="CA1358" s="8"/>
      <c r="CB1358" s="8"/>
      <c r="CC1358" s="8"/>
      <c r="CD1358" s="8"/>
      <c r="CE1358" s="8"/>
      <c r="CF1358" s="8"/>
      <c r="CG1358" s="8"/>
      <c r="CH1358" s="8"/>
      <c r="CI1358" s="8"/>
      <c r="CJ1358" s="8"/>
      <c r="CK1358" s="8"/>
      <c r="CL1358" s="8"/>
      <c r="CM1358" s="8"/>
      <c r="CN1358" s="8"/>
      <c r="CO1358" s="8"/>
      <c r="CP1358" s="8"/>
      <c r="CQ1358" s="8"/>
      <c r="CR1358" s="8"/>
      <c r="CS1358" s="8"/>
      <c r="CT1358" s="8"/>
      <c r="CU1358" s="8"/>
      <c r="CV1358" s="8"/>
      <c r="CW1358" s="8"/>
      <c r="CX1358" s="8"/>
      <c r="CY1358" s="8"/>
      <c r="CZ1358" s="8"/>
      <c r="DA1358" s="8"/>
      <c r="DB1358" s="8"/>
      <c r="DC1358" s="8"/>
      <c r="DD1358" s="8"/>
      <c r="DE1358" s="8"/>
      <c r="DF1358" s="8"/>
      <c r="DG1358" s="8"/>
      <c r="DH1358" s="8"/>
      <c r="DI1358" s="8"/>
      <c r="DJ1358" s="8"/>
      <c r="DK1358" s="8"/>
      <c r="DL1358" s="8"/>
      <c r="DM1358" s="8"/>
      <c r="DN1358" s="8"/>
      <c r="DO1358" s="8"/>
      <c r="DP1358" s="8"/>
      <c r="DQ1358" s="8"/>
      <c r="DR1358" s="8"/>
      <c r="DS1358" s="8"/>
      <c r="DT1358" s="8"/>
      <c r="DU1358" s="8"/>
      <c r="DV1358" s="8"/>
      <c r="DW1358" s="8"/>
      <c r="DX1358" s="8"/>
      <c r="DY1358" s="8"/>
      <c r="DZ1358" s="8"/>
      <c r="EA1358" s="8"/>
      <c r="EB1358" s="8"/>
      <c r="EC1358" s="8"/>
      <c r="ED1358" s="8"/>
      <c r="EE1358" s="8"/>
      <c r="EF1358" s="8"/>
      <c r="EG1358" s="8"/>
      <c r="EH1358" s="8"/>
      <c r="EI1358" s="8"/>
      <c r="EJ1358" s="8"/>
      <c r="EK1358" s="8"/>
      <c r="EL1358" s="8"/>
      <c r="EM1358" s="8"/>
      <c r="EN1358" s="8"/>
      <c r="EO1358" s="8"/>
      <c r="EP1358" s="8"/>
      <c r="EQ1358" s="8"/>
      <c r="ER1358" s="8"/>
      <c r="ES1358" s="8"/>
      <c r="ET1358" s="8"/>
      <c r="EU1358" s="8"/>
      <c r="EV1358" s="8"/>
      <c r="EW1358" s="8"/>
      <c r="EX1358" s="8"/>
      <c r="EY1358" s="8"/>
      <c r="EZ1358" s="8"/>
      <c r="FA1358" s="8"/>
      <c r="FB1358" s="8"/>
      <c r="FC1358" s="8"/>
      <c r="FD1358" s="8"/>
      <c r="FE1358" s="8"/>
      <c r="FF1358" s="8"/>
      <c r="FG1358" s="8"/>
      <c r="FH1358" s="8"/>
      <c r="FI1358" s="8"/>
      <c r="FJ1358" s="8"/>
      <c r="FK1358" s="8"/>
      <c r="FL1358" s="8"/>
      <c r="FM1358" s="8"/>
      <c r="FN1358" s="8"/>
      <c r="FO1358" s="8"/>
      <c r="FP1358" s="8"/>
      <c r="FQ1358" s="8"/>
      <c r="FR1358" s="8"/>
      <c r="FS1358" s="8"/>
      <c r="FT1358" s="8"/>
      <c r="FU1358" s="8"/>
      <c r="FV1358" s="8"/>
      <c r="FW1358" s="8"/>
      <c r="FX1358" s="8"/>
      <c r="FY1358" s="8"/>
      <c r="FZ1358" s="8"/>
      <c r="GA1358" s="8"/>
      <c r="GB1358" s="8"/>
      <c r="GC1358" s="8"/>
      <c r="GD1358" s="8"/>
      <c r="GE1358" s="8"/>
      <c r="GF1358" s="8"/>
      <c r="GG1358" s="8"/>
      <c r="GH1358" s="8"/>
      <c r="GI1358" s="8"/>
      <c r="GJ1358" s="8"/>
      <c r="GK1358" s="8"/>
      <c r="GL1358" s="8"/>
      <c r="GM1358" s="8"/>
      <c r="GN1358" s="8"/>
      <c r="GO1358" s="8"/>
      <c r="GP1358" s="8"/>
      <c r="GQ1358" s="8"/>
      <c r="GR1358" s="8"/>
      <c r="GS1358" s="8"/>
      <c r="GT1358" s="8"/>
      <c r="GU1358" s="8"/>
      <c r="GV1358" s="8"/>
      <c r="GW1358" s="8"/>
      <c r="GX1358" s="8"/>
      <c r="GY1358" s="8"/>
      <c r="GZ1358" s="8"/>
      <c r="HA1358" s="8"/>
      <c r="HB1358" s="8"/>
      <c r="HC1358" s="8"/>
      <c r="HD1358" s="8"/>
      <c r="HE1358" s="8"/>
      <c r="HF1358" s="8"/>
      <c r="HG1358" s="8"/>
      <c r="HH1358" s="8"/>
      <c r="HI1358" s="8"/>
      <c r="HJ1358" s="8"/>
      <c r="HK1358" s="8"/>
      <c r="HL1358" s="8"/>
      <c r="HM1358" s="8"/>
      <c r="HN1358" s="8"/>
      <c r="HO1358" s="8"/>
      <c r="HP1358" s="8"/>
      <c r="HQ1358" s="8"/>
      <c r="HR1358" s="8"/>
      <c r="HS1358" s="8"/>
      <c r="HT1358" s="8"/>
      <c r="HU1358" s="8"/>
      <c r="HV1358" s="8"/>
      <c r="HW1358" s="8"/>
      <c r="HX1358" s="8"/>
      <c r="HY1358" s="8"/>
      <c r="HZ1358" s="8"/>
      <c r="IA1358" s="8"/>
      <c r="IB1358" s="8"/>
      <c r="IC1358" s="8"/>
      <c r="ID1358" s="8"/>
      <c r="IE1358" s="8"/>
      <c r="IF1358" s="8"/>
    </row>
    <row r="1359" spans="1:240">
      <c r="A1359" s="14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8"/>
      <c r="BS1359" s="8"/>
      <c r="BT1359" s="8"/>
      <c r="BU1359" s="8"/>
      <c r="BV1359" s="8"/>
      <c r="BW1359" s="8"/>
      <c r="BX1359" s="8"/>
      <c r="BY1359" s="8"/>
      <c r="BZ1359" s="8"/>
      <c r="CA1359" s="8"/>
      <c r="CB1359" s="8"/>
      <c r="CC1359" s="8"/>
      <c r="CD1359" s="8"/>
      <c r="CE1359" s="8"/>
      <c r="CF1359" s="8"/>
      <c r="CG1359" s="8"/>
      <c r="CH1359" s="8"/>
      <c r="CI1359" s="8"/>
      <c r="CJ1359" s="8"/>
      <c r="CK1359" s="8"/>
      <c r="CL1359" s="8"/>
      <c r="CM1359" s="8"/>
      <c r="CN1359" s="8"/>
      <c r="CO1359" s="8"/>
      <c r="CP1359" s="8"/>
      <c r="CQ1359" s="8"/>
      <c r="CR1359" s="8"/>
      <c r="CS1359" s="8"/>
      <c r="CT1359" s="8"/>
      <c r="CU1359" s="8"/>
      <c r="CV1359" s="8"/>
      <c r="CW1359" s="8"/>
      <c r="CX1359" s="8"/>
      <c r="CY1359" s="8"/>
      <c r="CZ1359" s="8"/>
      <c r="DA1359" s="8"/>
      <c r="DB1359" s="8"/>
      <c r="DC1359" s="8"/>
      <c r="DD1359" s="8"/>
      <c r="DE1359" s="8"/>
      <c r="DF1359" s="8"/>
      <c r="DG1359" s="8"/>
      <c r="DH1359" s="8"/>
      <c r="DI1359" s="8"/>
      <c r="DJ1359" s="8"/>
      <c r="DK1359" s="8"/>
      <c r="DL1359" s="8"/>
      <c r="DM1359" s="8"/>
      <c r="DN1359" s="8"/>
      <c r="DO1359" s="8"/>
      <c r="DP1359" s="8"/>
      <c r="DQ1359" s="8"/>
      <c r="DR1359" s="8"/>
      <c r="DS1359" s="8"/>
      <c r="DT1359" s="8"/>
      <c r="DU1359" s="8"/>
      <c r="DV1359" s="8"/>
      <c r="DW1359" s="8"/>
      <c r="DX1359" s="8"/>
      <c r="DY1359" s="8"/>
      <c r="DZ1359" s="8"/>
      <c r="EA1359" s="8"/>
      <c r="EB1359" s="8"/>
      <c r="EC1359" s="8"/>
      <c r="ED1359" s="8"/>
      <c r="EE1359" s="8"/>
      <c r="EF1359" s="8"/>
      <c r="EG1359" s="8"/>
      <c r="EH1359" s="8"/>
      <c r="EI1359" s="8"/>
      <c r="EJ1359" s="8"/>
      <c r="EK1359" s="8"/>
      <c r="EL1359" s="8"/>
      <c r="EM1359" s="8"/>
      <c r="EN1359" s="8"/>
      <c r="EO1359" s="8"/>
      <c r="EP1359" s="8"/>
      <c r="EQ1359" s="8"/>
      <c r="ER1359" s="8"/>
      <c r="ES1359" s="8"/>
      <c r="ET1359" s="8"/>
      <c r="EU1359" s="8"/>
      <c r="EV1359" s="8"/>
      <c r="EW1359" s="8"/>
      <c r="EX1359" s="8"/>
      <c r="EY1359" s="8"/>
      <c r="EZ1359" s="8"/>
      <c r="FA1359" s="8"/>
      <c r="FB1359" s="8"/>
      <c r="FC1359" s="8"/>
      <c r="FD1359" s="8"/>
      <c r="FE1359" s="8"/>
      <c r="FF1359" s="8"/>
      <c r="FG1359" s="8"/>
      <c r="FH1359" s="8"/>
      <c r="FI1359" s="8"/>
      <c r="FJ1359" s="8"/>
      <c r="FK1359" s="8"/>
      <c r="FL1359" s="8"/>
      <c r="FM1359" s="8"/>
      <c r="FN1359" s="8"/>
      <c r="FO1359" s="8"/>
      <c r="FP1359" s="8"/>
      <c r="FQ1359" s="8"/>
      <c r="FR1359" s="8"/>
      <c r="FS1359" s="8"/>
      <c r="FT1359" s="8"/>
      <c r="FU1359" s="8"/>
      <c r="FV1359" s="8"/>
      <c r="FW1359" s="8"/>
      <c r="FX1359" s="8"/>
      <c r="FY1359" s="8"/>
      <c r="FZ1359" s="8"/>
      <c r="GA1359" s="8"/>
      <c r="GB1359" s="8"/>
      <c r="GC1359" s="8"/>
      <c r="GD1359" s="8"/>
      <c r="GE1359" s="8"/>
      <c r="GF1359" s="8"/>
      <c r="GG1359" s="8"/>
      <c r="GH1359" s="8"/>
      <c r="GI1359" s="8"/>
      <c r="GJ1359" s="8"/>
      <c r="GK1359" s="8"/>
      <c r="GL1359" s="8"/>
      <c r="GM1359" s="8"/>
      <c r="GN1359" s="8"/>
      <c r="GO1359" s="8"/>
      <c r="GP1359" s="8"/>
      <c r="GQ1359" s="8"/>
      <c r="GR1359" s="8"/>
      <c r="GS1359" s="8"/>
      <c r="GT1359" s="8"/>
      <c r="GU1359" s="8"/>
      <c r="GV1359" s="8"/>
      <c r="GW1359" s="8"/>
      <c r="GX1359" s="8"/>
      <c r="GY1359" s="8"/>
      <c r="GZ1359" s="8"/>
      <c r="HA1359" s="8"/>
      <c r="HB1359" s="8"/>
      <c r="HC1359" s="8"/>
      <c r="HD1359" s="8"/>
      <c r="HE1359" s="8"/>
      <c r="HF1359" s="8"/>
      <c r="HG1359" s="8"/>
      <c r="HH1359" s="8"/>
      <c r="HI1359" s="8"/>
      <c r="HJ1359" s="8"/>
      <c r="HK1359" s="8"/>
      <c r="HL1359" s="8"/>
      <c r="HM1359" s="8"/>
      <c r="HN1359" s="8"/>
      <c r="HO1359" s="8"/>
      <c r="HP1359" s="8"/>
      <c r="HQ1359" s="8"/>
      <c r="HR1359" s="8"/>
      <c r="HS1359" s="8"/>
      <c r="HT1359" s="8"/>
      <c r="HU1359" s="8"/>
      <c r="HV1359" s="8"/>
      <c r="HW1359" s="8"/>
      <c r="HX1359" s="8"/>
      <c r="HY1359" s="8"/>
      <c r="HZ1359" s="8"/>
      <c r="IA1359" s="8"/>
      <c r="IB1359" s="8"/>
      <c r="IC1359" s="8"/>
      <c r="ID1359" s="8"/>
      <c r="IE1359" s="8"/>
      <c r="IF1359" s="8"/>
    </row>
    <row r="1360" spans="1:240">
      <c r="A1360" s="14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8"/>
      <c r="AP1360" s="8"/>
      <c r="AQ1360" s="8"/>
      <c r="AR1360" s="8"/>
      <c r="AS1360" s="8"/>
      <c r="AT1360" s="8"/>
      <c r="AU1360" s="8"/>
      <c r="AV1360" s="8"/>
      <c r="AW1360" s="8"/>
      <c r="AX1360" s="8"/>
      <c r="AY1360" s="8"/>
      <c r="AZ1360" s="8"/>
      <c r="BA1360" s="8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8"/>
      <c r="BS1360" s="8"/>
      <c r="BT1360" s="8"/>
      <c r="BU1360" s="8"/>
      <c r="BV1360" s="8"/>
      <c r="BW1360" s="8"/>
      <c r="BX1360" s="8"/>
      <c r="BY1360" s="8"/>
      <c r="BZ1360" s="8"/>
      <c r="CA1360" s="8"/>
      <c r="CB1360" s="8"/>
      <c r="CC1360" s="8"/>
      <c r="CD1360" s="8"/>
      <c r="CE1360" s="8"/>
      <c r="CF1360" s="8"/>
      <c r="CG1360" s="8"/>
      <c r="CH1360" s="8"/>
      <c r="CI1360" s="8"/>
      <c r="CJ1360" s="8"/>
      <c r="CK1360" s="8"/>
      <c r="CL1360" s="8"/>
      <c r="CM1360" s="8"/>
      <c r="CN1360" s="8"/>
      <c r="CO1360" s="8"/>
      <c r="CP1360" s="8"/>
      <c r="CQ1360" s="8"/>
      <c r="CR1360" s="8"/>
      <c r="CS1360" s="8"/>
      <c r="CT1360" s="8"/>
      <c r="CU1360" s="8"/>
      <c r="CV1360" s="8"/>
      <c r="CW1360" s="8"/>
      <c r="CX1360" s="8"/>
      <c r="CY1360" s="8"/>
      <c r="CZ1360" s="8"/>
      <c r="DA1360" s="8"/>
      <c r="DB1360" s="8"/>
      <c r="DC1360" s="8"/>
      <c r="DD1360" s="8"/>
      <c r="DE1360" s="8"/>
      <c r="DF1360" s="8"/>
      <c r="DG1360" s="8"/>
      <c r="DH1360" s="8"/>
      <c r="DI1360" s="8"/>
      <c r="DJ1360" s="8"/>
      <c r="DK1360" s="8"/>
      <c r="DL1360" s="8"/>
      <c r="DM1360" s="8"/>
      <c r="DN1360" s="8"/>
      <c r="DO1360" s="8"/>
      <c r="DP1360" s="8"/>
      <c r="DQ1360" s="8"/>
      <c r="DR1360" s="8"/>
      <c r="DS1360" s="8"/>
      <c r="DT1360" s="8"/>
      <c r="DU1360" s="8"/>
      <c r="DV1360" s="8"/>
      <c r="DW1360" s="8"/>
      <c r="DX1360" s="8"/>
      <c r="DY1360" s="8"/>
      <c r="DZ1360" s="8"/>
      <c r="EA1360" s="8"/>
      <c r="EB1360" s="8"/>
      <c r="EC1360" s="8"/>
      <c r="ED1360" s="8"/>
      <c r="EE1360" s="8"/>
      <c r="EF1360" s="8"/>
      <c r="EG1360" s="8"/>
      <c r="EH1360" s="8"/>
      <c r="EI1360" s="8"/>
      <c r="EJ1360" s="8"/>
      <c r="EK1360" s="8"/>
      <c r="EL1360" s="8"/>
      <c r="EM1360" s="8"/>
      <c r="EN1360" s="8"/>
      <c r="EO1360" s="8"/>
      <c r="EP1360" s="8"/>
      <c r="EQ1360" s="8"/>
      <c r="ER1360" s="8"/>
      <c r="ES1360" s="8"/>
      <c r="ET1360" s="8"/>
      <c r="EU1360" s="8"/>
      <c r="EV1360" s="8"/>
      <c r="EW1360" s="8"/>
      <c r="EX1360" s="8"/>
      <c r="EY1360" s="8"/>
      <c r="EZ1360" s="8"/>
      <c r="FA1360" s="8"/>
      <c r="FB1360" s="8"/>
      <c r="FC1360" s="8"/>
      <c r="FD1360" s="8"/>
      <c r="FE1360" s="8"/>
      <c r="FF1360" s="8"/>
      <c r="FG1360" s="8"/>
      <c r="FH1360" s="8"/>
      <c r="FI1360" s="8"/>
      <c r="FJ1360" s="8"/>
      <c r="FK1360" s="8"/>
      <c r="FL1360" s="8"/>
      <c r="FM1360" s="8"/>
      <c r="FN1360" s="8"/>
      <c r="FO1360" s="8"/>
      <c r="FP1360" s="8"/>
      <c r="FQ1360" s="8"/>
      <c r="FR1360" s="8"/>
      <c r="FS1360" s="8"/>
      <c r="FT1360" s="8"/>
      <c r="FU1360" s="8"/>
      <c r="FV1360" s="8"/>
      <c r="FW1360" s="8"/>
      <c r="FX1360" s="8"/>
      <c r="FY1360" s="8"/>
      <c r="FZ1360" s="8"/>
      <c r="GA1360" s="8"/>
      <c r="GB1360" s="8"/>
      <c r="GC1360" s="8"/>
      <c r="GD1360" s="8"/>
      <c r="GE1360" s="8"/>
      <c r="GF1360" s="8"/>
      <c r="GG1360" s="8"/>
      <c r="GH1360" s="8"/>
      <c r="GI1360" s="8"/>
      <c r="GJ1360" s="8"/>
      <c r="GK1360" s="8"/>
      <c r="GL1360" s="8"/>
      <c r="GM1360" s="8"/>
      <c r="GN1360" s="8"/>
      <c r="GO1360" s="8"/>
      <c r="GP1360" s="8"/>
      <c r="GQ1360" s="8"/>
      <c r="GR1360" s="8"/>
      <c r="GS1360" s="8"/>
      <c r="GT1360" s="8"/>
      <c r="GU1360" s="8"/>
      <c r="GV1360" s="8"/>
      <c r="GW1360" s="8"/>
      <c r="GX1360" s="8"/>
      <c r="GY1360" s="8"/>
      <c r="GZ1360" s="8"/>
      <c r="HA1360" s="8"/>
      <c r="HB1360" s="8"/>
      <c r="HC1360" s="8"/>
      <c r="HD1360" s="8"/>
      <c r="HE1360" s="8"/>
      <c r="HF1360" s="8"/>
      <c r="HG1360" s="8"/>
      <c r="HH1360" s="8"/>
      <c r="HI1360" s="8"/>
      <c r="HJ1360" s="8"/>
      <c r="HK1360" s="8"/>
      <c r="HL1360" s="8"/>
      <c r="HM1360" s="8"/>
      <c r="HN1360" s="8"/>
      <c r="HO1360" s="8"/>
      <c r="HP1360" s="8"/>
      <c r="HQ1360" s="8"/>
      <c r="HR1360" s="8"/>
      <c r="HS1360" s="8"/>
      <c r="HT1360" s="8"/>
      <c r="HU1360" s="8"/>
      <c r="HV1360" s="8"/>
      <c r="HW1360" s="8"/>
      <c r="HX1360" s="8"/>
      <c r="HY1360" s="8"/>
      <c r="HZ1360" s="8"/>
      <c r="IA1360" s="8"/>
      <c r="IB1360" s="8"/>
      <c r="IC1360" s="8"/>
      <c r="ID1360" s="8"/>
      <c r="IE1360" s="8"/>
      <c r="IF1360" s="8"/>
    </row>
    <row r="1361" spans="1:240">
      <c r="A1361" s="14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8"/>
      <c r="BS1361" s="8"/>
      <c r="BT1361" s="8"/>
      <c r="BU1361" s="8"/>
      <c r="BV1361" s="8"/>
      <c r="BW1361" s="8"/>
      <c r="BX1361" s="8"/>
      <c r="BY1361" s="8"/>
      <c r="BZ1361" s="8"/>
      <c r="CA1361" s="8"/>
      <c r="CB1361" s="8"/>
      <c r="CC1361" s="8"/>
      <c r="CD1361" s="8"/>
      <c r="CE1361" s="8"/>
      <c r="CF1361" s="8"/>
      <c r="CG1361" s="8"/>
      <c r="CH1361" s="8"/>
      <c r="CI1361" s="8"/>
      <c r="CJ1361" s="8"/>
      <c r="CK1361" s="8"/>
      <c r="CL1361" s="8"/>
      <c r="CM1361" s="8"/>
      <c r="CN1361" s="8"/>
      <c r="CO1361" s="8"/>
      <c r="CP1361" s="8"/>
      <c r="CQ1361" s="8"/>
      <c r="CR1361" s="8"/>
      <c r="CS1361" s="8"/>
      <c r="CT1361" s="8"/>
      <c r="CU1361" s="8"/>
      <c r="CV1361" s="8"/>
      <c r="CW1361" s="8"/>
      <c r="CX1361" s="8"/>
      <c r="CY1361" s="8"/>
      <c r="CZ1361" s="8"/>
      <c r="DA1361" s="8"/>
      <c r="DB1361" s="8"/>
      <c r="DC1361" s="8"/>
      <c r="DD1361" s="8"/>
      <c r="DE1361" s="8"/>
      <c r="DF1361" s="8"/>
      <c r="DG1361" s="8"/>
      <c r="DH1361" s="8"/>
      <c r="DI1361" s="8"/>
      <c r="DJ1361" s="8"/>
      <c r="DK1361" s="8"/>
      <c r="DL1361" s="8"/>
      <c r="DM1361" s="8"/>
      <c r="DN1361" s="8"/>
      <c r="DO1361" s="8"/>
      <c r="DP1361" s="8"/>
      <c r="DQ1361" s="8"/>
      <c r="DR1361" s="8"/>
      <c r="DS1361" s="8"/>
      <c r="DT1361" s="8"/>
      <c r="DU1361" s="8"/>
      <c r="DV1361" s="8"/>
      <c r="DW1361" s="8"/>
      <c r="DX1361" s="8"/>
      <c r="DY1361" s="8"/>
      <c r="DZ1361" s="8"/>
      <c r="EA1361" s="8"/>
      <c r="EB1361" s="8"/>
      <c r="EC1361" s="8"/>
      <c r="ED1361" s="8"/>
      <c r="EE1361" s="8"/>
      <c r="EF1361" s="8"/>
      <c r="EG1361" s="8"/>
      <c r="EH1361" s="8"/>
      <c r="EI1361" s="8"/>
      <c r="EJ1361" s="8"/>
      <c r="EK1361" s="8"/>
      <c r="EL1361" s="8"/>
      <c r="EM1361" s="8"/>
      <c r="EN1361" s="8"/>
      <c r="EO1361" s="8"/>
      <c r="EP1361" s="8"/>
      <c r="EQ1361" s="8"/>
      <c r="ER1361" s="8"/>
      <c r="ES1361" s="8"/>
      <c r="ET1361" s="8"/>
      <c r="EU1361" s="8"/>
      <c r="EV1361" s="8"/>
      <c r="EW1361" s="8"/>
      <c r="EX1361" s="8"/>
      <c r="EY1361" s="8"/>
      <c r="EZ1361" s="8"/>
      <c r="FA1361" s="8"/>
      <c r="FB1361" s="8"/>
      <c r="FC1361" s="8"/>
      <c r="FD1361" s="8"/>
      <c r="FE1361" s="8"/>
      <c r="FF1361" s="8"/>
      <c r="FG1361" s="8"/>
      <c r="FH1361" s="8"/>
      <c r="FI1361" s="8"/>
      <c r="FJ1361" s="8"/>
      <c r="FK1361" s="8"/>
      <c r="FL1361" s="8"/>
      <c r="FM1361" s="8"/>
      <c r="FN1361" s="8"/>
      <c r="FO1361" s="8"/>
      <c r="FP1361" s="8"/>
      <c r="FQ1361" s="8"/>
      <c r="FR1361" s="8"/>
      <c r="FS1361" s="8"/>
      <c r="FT1361" s="8"/>
      <c r="FU1361" s="8"/>
      <c r="FV1361" s="8"/>
      <c r="FW1361" s="8"/>
      <c r="FX1361" s="8"/>
      <c r="FY1361" s="8"/>
      <c r="FZ1361" s="8"/>
      <c r="GA1361" s="8"/>
      <c r="GB1361" s="8"/>
      <c r="GC1361" s="8"/>
      <c r="GD1361" s="8"/>
      <c r="GE1361" s="8"/>
      <c r="GF1361" s="8"/>
      <c r="GG1361" s="8"/>
      <c r="GH1361" s="8"/>
      <c r="GI1361" s="8"/>
      <c r="GJ1361" s="8"/>
      <c r="GK1361" s="8"/>
      <c r="GL1361" s="8"/>
      <c r="GM1361" s="8"/>
      <c r="GN1361" s="8"/>
      <c r="GO1361" s="8"/>
      <c r="GP1361" s="8"/>
      <c r="GQ1361" s="8"/>
      <c r="GR1361" s="8"/>
      <c r="GS1361" s="8"/>
      <c r="GT1361" s="8"/>
      <c r="GU1361" s="8"/>
      <c r="GV1361" s="8"/>
      <c r="GW1361" s="8"/>
      <c r="GX1361" s="8"/>
      <c r="GY1361" s="8"/>
      <c r="GZ1361" s="8"/>
      <c r="HA1361" s="8"/>
      <c r="HB1361" s="8"/>
      <c r="HC1361" s="8"/>
      <c r="HD1361" s="8"/>
      <c r="HE1361" s="8"/>
      <c r="HF1361" s="8"/>
      <c r="HG1361" s="8"/>
      <c r="HH1361" s="8"/>
      <c r="HI1361" s="8"/>
      <c r="HJ1361" s="8"/>
      <c r="HK1361" s="8"/>
      <c r="HL1361" s="8"/>
      <c r="HM1361" s="8"/>
      <c r="HN1361" s="8"/>
      <c r="HO1361" s="8"/>
      <c r="HP1361" s="8"/>
      <c r="HQ1361" s="8"/>
      <c r="HR1361" s="8"/>
      <c r="HS1361" s="8"/>
      <c r="HT1361" s="8"/>
      <c r="HU1361" s="8"/>
      <c r="HV1361" s="8"/>
      <c r="HW1361" s="8"/>
      <c r="HX1361" s="8"/>
      <c r="HY1361" s="8"/>
      <c r="HZ1361" s="8"/>
      <c r="IA1361" s="8"/>
      <c r="IB1361" s="8"/>
      <c r="IC1361" s="8"/>
      <c r="ID1361" s="8"/>
      <c r="IE1361" s="8"/>
      <c r="IF1361" s="8"/>
    </row>
    <row r="1362" spans="1:240">
      <c r="A1362" s="14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8"/>
      <c r="BS1362" s="8"/>
      <c r="BT1362" s="8"/>
      <c r="BU1362" s="8"/>
      <c r="BV1362" s="8"/>
      <c r="BW1362" s="8"/>
      <c r="BX1362" s="8"/>
      <c r="BY1362" s="8"/>
      <c r="BZ1362" s="8"/>
      <c r="CA1362" s="8"/>
      <c r="CB1362" s="8"/>
      <c r="CC1362" s="8"/>
      <c r="CD1362" s="8"/>
      <c r="CE1362" s="8"/>
      <c r="CF1362" s="8"/>
      <c r="CG1362" s="8"/>
      <c r="CH1362" s="8"/>
      <c r="CI1362" s="8"/>
      <c r="CJ1362" s="8"/>
      <c r="CK1362" s="8"/>
      <c r="CL1362" s="8"/>
      <c r="CM1362" s="8"/>
      <c r="CN1362" s="8"/>
      <c r="CO1362" s="8"/>
      <c r="CP1362" s="8"/>
      <c r="CQ1362" s="8"/>
      <c r="CR1362" s="8"/>
      <c r="CS1362" s="8"/>
      <c r="CT1362" s="8"/>
      <c r="CU1362" s="8"/>
      <c r="CV1362" s="8"/>
      <c r="CW1362" s="8"/>
      <c r="CX1362" s="8"/>
      <c r="CY1362" s="8"/>
      <c r="CZ1362" s="8"/>
      <c r="DA1362" s="8"/>
      <c r="DB1362" s="8"/>
      <c r="DC1362" s="8"/>
      <c r="DD1362" s="8"/>
      <c r="DE1362" s="8"/>
      <c r="DF1362" s="8"/>
      <c r="DG1362" s="8"/>
      <c r="DH1362" s="8"/>
      <c r="DI1362" s="8"/>
      <c r="DJ1362" s="8"/>
      <c r="DK1362" s="8"/>
      <c r="DL1362" s="8"/>
      <c r="DM1362" s="8"/>
      <c r="DN1362" s="8"/>
      <c r="DO1362" s="8"/>
      <c r="DP1362" s="8"/>
      <c r="DQ1362" s="8"/>
      <c r="DR1362" s="8"/>
      <c r="DS1362" s="8"/>
      <c r="DT1362" s="8"/>
      <c r="DU1362" s="8"/>
      <c r="DV1362" s="8"/>
      <c r="DW1362" s="8"/>
      <c r="DX1362" s="8"/>
      <c r="DY1362" s="8"/>
      <c r="DZ1362" s="8"/>
      <c r="EA1362" s="8"/>
      <c r="EB1362" s="8"/>
      <c r="EC1362" s="8"/>
      <c r="ED1362" s="8"/>
      <c r="EE1362" s="8"/>
      <c r="EF1362" s="8"/>
      <c r="EG1362" s="8"/>
      <c r="EH1362" s="8"/>
      <c r="EI1362" s="8"/>
      <c r="EJ1362" s="8"/>
      <c r="EK1362" s="8"/>
      <c r="EL1362" s="8"/>
      <c r="EM1362" s="8"/>
      <c r="EN1362" s="8"/>
      <c r="EO1362" s="8"/>
      <c r="EP1362" s="8"/>
      <c r="EQ1362" s="8"/>
      <c r="ER1362" s="8"/>
      <c r="ES1362" s="8"/>
      <c r="ET1362" s="8"/>
      <c r="EU1362" s="8"/>
      <c r="EV1362" s="8"/>
      <c r="EW1362" s="8"/>
      <c r="EX1362" s="8"/>
      <c r="EY1362" s="8"/>
      <c r="EZ1362" s="8"/>
      <c r="FA1362" s="8"/>
      <c r="FB1362" s="8"/>
      <c r="FC1362" s="8"/>
      <c r="FD1362" s="8"/>
      <c r="FE1362" s="8"/>
      <c r="FF1362" s="8"/>
      <c r="FG1362" s="8"/>
      <c r="FH1362" s="8"/>
      <c r="FI1362" s="8"/>
      <c r="FJ1362" s="8"/>
      <c r="FK1362" s="8"/>
      <c r="FL1362" s="8"/>
      <c r="FM1362" s="8"/>
      <c r="FN1362" s="8"/>
      <c r="FO1362" s="8"/>
      <c r="FP1362" s="8"/>
      <c r="FQ1362" s="8"/>
      <c r="FR1362" s="8"/>
      <c r="FS1362" s="8"/>
      <c r="FT1362" s="8"/>
      <c r="FU1362" s="8"/>
      <c r="FV1362" s="8"/>
      <c r="FW1362" s="8"/>
      <c r="FX1362" s="8"/>
      <c r="FY1362" s="8"/>
      <c r="FZ1362" s="8"/>
      <c r="GA1362" s="8"/>
      <c r="GB1362" s="8"/>
      <c r="GC1362" s="8"/>
      <c r="GD1362" s="8"/>
      <c r="GE1362" s="8"/>
      <c r="GF1362" s="8"/>
      <c r="GG1362" s="8"/>
      <c r="GH1362" s="8"/>
      <c r="GI1362" s="8"/>
      <c r="GJ1362" s="8"/>
      <c r="GK1362" s="8"/>
      <c r="GL1362" s="8"/>
      <c r="GM1362" s="8"/>
      <c r="GN1362" s="8"/>
      <c r="GO1362" s="8"/>
      <c r="GP1362" s="8"/>
      <c r="GQ1362" s="8"/>
      <c r="GR1362" s="8"/>
      <c r="GS1362" s="8"/>
      <c r="GT1362" s="8"/>
      <c r="GU1362" s="8"/>
      <c r="GV1362" s="8"/>
      <c r="GW1362" s="8"/>
      <c r="GX1362" s="8"/>
      <c r="GY1362" s="8"/>
      <c r="GZ1362" s="8"/>
      <c r="HA1362" s="8"/>
      <c r="HB1362" s="8"/>
      <c r="HC1362" s="8"/>
      <c r="HD1362" s="8"/>
      <c r="HE1362" s="8"/>
      <c r="HF1362" s="8"/>
      <c r="HG1362" s="8"/>
      <c r="HH1362" s="8"/>
      <c r="HI1362" s="8"/>
      <c r="HJ1362" s="8"/>
      <c r="HK1362" s="8"/>
      <c r="HL1362" s="8"/>
      <c r="HM1362" s="8"/>
      <c r="HN1362" s="8"/>
      <c r="HO1362" s="8"/>
      <c r="HP1362" s="8"/>
      <c r="HQ1362" s="8"/>
      <c r="HR1362" s="8"/>
      <c r="HS1362" s="8"/>
      <c r="HT1362" s="8"/>
      <c r="HU1362" s="8"/>
      <c r="HV1362" s="8"/>
      <c r="HW1362" s="8"/>
      <c r="HX1362" s="8"/>
      <c r="HY1362" s="8"/>
      <c r="HZ1362" s="8"/>
      <c r="IA1362" s="8"/>
      <c r="IB1362" s="8"/>
      <c r="IC1362" s="8"/>
      <c r="ID1362" s="8"/>
      <c r="IE1362" s="8"/>
      <c r="IF1362" s="8"/>
    </row>
    <row r="1363" spans="1:240">
      <c r="A1363" s="14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8"/>
      <c r="BS1363" s="8"/>
      <c r="BT1363" s="8"/>
      <c r="BU1363" s="8"/>
      <c r="BV1363" s="8"/>
      <c r="BW1363" s="8"/>
      <c r="BX1363" s="8"/>
      <c r="BY1363" s="8"/>
      <c r="BZ1363" s="8"/>
      <c r="CA1363" s="8"/>
      <c r="CB1363" s="8"/>
      <c r="CC1363" s="8"/>
      <c r="CD1363" s="8"/>
      <c r="CE1363" s="8"/>
      <c r="CF1363" s="8"/>
      <c r="CG1363" s="8"/>
      <c r="CH1363" s="8"/>
      <c r="CI1363" s="8"/>
      <c r="CJ1363" s="8"/>
      <c r="CK1363" s="8"/>
      <c r="CL1363" s="8"/>
      <c r="CM1363" s="8"/>
      <c r="CN1363" s="8"/>
      <c r="CO1363" s="8"/>
      <c r="CP1363" s="8"/>
      <c r="CQ1363" s="8"/>
      <c r="CR1363" s="8"/>
      <c r="CS1363" s="8"/>
      <c r="CT1363" s="8"/>
      <c r="CU1363" s="8"/>
      <c r="CV1363" s="8"/>
      <c r="CW1363" s="8"/>
      <c r="CX1363" s="8"/>
      <c r="CY1363" s="8"/>
      <c r="CZ1363" s="8"/>
      <c r="DA1363" s="8"/>
      <c r="DB1363" s="8"/>
      <c r="DC1363" s="8"/>
      <c r="DD1363" s="8"/>
      <c r="DE1363" s="8"/>
      <c r="DF1363" s="8"/>
      <c r="DG1363" s="8"/>
      <c r="DH1363" s="8"/>
      <c r="DI1363" s="8"/>
      <c r="DJ1363" s="8"/>
      <c r="DK1363" s="8"/>
      <c r="DL1363" s="8"/>
      <c r="DM1363" s="8"/>
      <c r="DN1363" s="8"/>
      <c r="DO1363" s="8"/>
      <c r="DP1363" s="8"/>
      <c r="DQ1363" s="8"/>
      <c r="DR1363" s="8"/>
      <c r="DS1363" s="8"/>
      <c r="DT1363" s="8"/>
      <c r="DU1363" s="8"/>
      <c r="DV1363" s="8"/>
      <c r="DW1363" s="8"/>
      <c r="DX1363" s="8"/>
      <c r="DY1363" s="8"/>
      <c r="DZ1363" s="8"/>
      <c r="EA1363" s="8"/>
      <c r="EB1363" s="8"/>
      <c r="EC1363" s="8"/>
      <c r="ED1363" s="8"/>
      <c r="EE1363" s="8"/>
      <c r="EF1363" s="8"/>
      <c r="EG1363" s="8"/>
      <c r="EH1363" s="8"/>
      <c r="EI1363" s="8"/>
      <c r="EJ1363" s="8"/>
      <c r="EK1363" s="8"/>
      <c r="EL1363" s="8"/>
      <c r="EM1363" s="8"/>
      <c r="EN1363" s="8"/>
      <c r="EO1363" s="8"/>
      <c r="EP1363" s="8"/>
      <c r="EQ1363" s="8"/>
      <c r="ER1363" s="8"/>
      <c r="ES1363" s="8"/>
      <c r="ET1363" s="8"/>
      <c r="EU1363" s="8"/>
      <c r="EV1363" s="8"/>
      <c r="EW1363" s="8"/>
      <c r="EX1363" s="8"/>
      <c r="EY1363" s="8"/>
      <c r="EZ1363" s="8"/>
      <c r="FA1363" s="8"/>
      <c r="FB1363" s="8"/>
      <c r="FC1363" s="8"/>
      <c r="FD1363" s="8"/>
      <c r="FE1363" s="8"/>
      <c r="FF1363" s="8"/>
      <c r="FG1363" s="8"/>
      <c r="FH1363" s="8"/>
      <c r="FI1363" s="8"/>
      <c r="FJ1363" s="8"/>
      <c r="FK1363" s="8"/>
      <c r="FL1363" s="8"/>
      <c r="FM1363" s="8"/>
      <c r="FN1363" s="8"/>
      <c r="FO1363" s="8"/>
      <c r="FP1363" s="8"/>
      <c r="FQ1363" s="8"/>
      <c r="FR1363" s="8"/>
      <c r="FS1363" s="8"/>
      <c r="FT1363" s="8"/>
      <c r="FU1363" s="8"/>
      <c r="FV1363" s="8"/>
      <c r="FW1363" s="8"/>
      <c r="FX1363" s="8"/>
      <c r="FY1363" s="8"/>
      <c r="FZ1363" s="8"/>
      <c r="GA1363" s="8"/>
      <c r="GB1363" s="8"/>
      <c r="GC1363" s="8"/>
      <c r="GD1363" s="8"/>
      <c r="GE1363" s="8"/>
      <c r="GF1363" s="8"/>
      <c r="GG1363" s="8"/>
      <c r="GH1363" s="8"/>
      <c r="GI1363" s="8"/>
      <c r="GJ1363" s="8"/>
      <c r="GK1363" s="8"/>
      <c r="GL1363" s="8"/>
      <c r="GM1363" s="8"/>
      <c r="GN1363" s="8"/>
      <c r="GO1363" s="8"/>
      <c r="GP1363" s="8"/>
      <c r="GQ1363" s="8"/>
      <c r="GR1363" s="8"/>
      <c r="GS1363" s="8"/>
      <c r="GT1363" s="8"/>
      <c r="GU1363" s="8"/>
      <c r="GV1363" s="8"/>
      <c r="GW1363" s="8"/>
      <c r="GX1363" s="8"/>
      <c r="GY1363" s="8"/>
      <c r="GZ1363" s="8"/>
      <c r="HA1363" s="8"/>
      <c r="HB1363" s="8"/>
      <c r="HC1363" s="8"/>
      <c r="HD1363" s="8"/>
      <c r="HE1363" s="8"/>
      <c r="HF1363" s="8"/>
      <c r="HG1363" s="8"/>
      <c r="HH1363" s="8"/>
      <c r="HI1363" s="8"/>
      <c r="HJ1363" s="8"/>
      <c r="HK1363" s="8"/>
      <c r="HL1363" s="8"/>
      <c r="HM1363" s="8"/>
      <c r="HN1363" s="8"/>
      <c r="HO1363" s="8"/>
      <c r="HP1363" s="8"/>
      <c r="HQ1363" s="8"/>
      <c r="HR1363" s="8"/>
      <c r="HS1363" s="8"/>
      <c r="HT1363" s="8"/>
      <c r="HU1363" s="8"/>
      <c r="HV1363" s="8"/>
      <c r="HW1363" s="8"/>
      <c r="HX1363" s="8"/>
      <c r="HY1363" s="8"/>
      <c r="HZ1363" s="8"/>
      <c r="IA1363" s="8"/>
      <c r="IB1363" s="8"/>
      <c r="IC1363" s="8"/>
      <c r="ID1363" s="8"/>
      <c r="IE1363" s="8"/>
      <c r="IF1363" s="8"/>
    </row>
    <row r="1364" spans="1:240">
      <c r="A1364" s="14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8"/>
      <c r="BS1364" s="8"/>
      <c r="BT1364" s="8"/>
      <c r="BU1364" s="8"/>
      <c r="BV1364" s="8"/>
      <c r="BW1364" s="8"/>
      <c r="BX1364" s="8"/>
      <c r="BY1364" s="8"/>
      <c r="BZ1364" s="8"/>
      <c r="CA1364" s="8"/>
      <c r="CB1364" s="8"/>
      <c r="CC1364" s="8"/>
      <c r="CD1364" s="8"/>
      <c r="CE1364" s="8"/>
      <c r="CF1364" s="8"/>
      <c r="CG1364" s="8"/>
      <c r="CH1364" s="8"/>
      <c r="CI1364" s="8"/>
      <c r="CJ1364" s="8"/>
      <c r="CK1364" s="8"/>
      <c r="CL1364" s="8"/>
      <c r="CM1364" s="8"/>
      <c r="CN1364" s="8"/>
      <c r="CO1364" s="8"/>
      <c r="CP1364" s="8"/>
      <c r="CQ1364" s="8"/>
      <c r="CR1364" s="8"/>
      <c r="CS1364" s="8"/>
      <c r="CT1364" s="8"/>
      <c r="CU1364" s="8"/>
      <c r="CV1364" s="8"/>
      <c r="CW1364" s="8"/>
      <c r="CX1364" s="8"/>
      <c r="CY1364" s="8"/>
      <c r="CZ1364" s="8"/>
      <c r="DA1364" s="8"/>
      <c r="DB1364" s="8"/>
      <c r="DC1364" s="8"/>
      <c r="DD1364" s="8"/>
      <c r="DE1364" s="8"/>
      <c r="DF1364" s="8"/>
      <c r="DG1364" s="8"/>
      <c r="DH1364" s="8"/>
      <c r="DI1364" s="8"/>
      <c r="DJ1364" s="8"/>
      <c r="DK1364" s="8"/>
      <c r="DL1364" s="8"/>
      <c r="DM1364" s="8"/>
      <c r="DN1364" s="8"/>
      <c r="DO1364" s="8"/>
      <c r="DP1364" s="8"/>
      <c r="DQ1364" s="8"/>
      <c r="DR1364" s="8"/>
      <c r="DS1364" s="8"/>
      <c r="DT1364" s="8"/>
      <c r="DU1364" s="8"/>
      <c r="DV1364" s="8"/>
      <c r="DW1364" s="8"/>
      <c r="DX1364" s="8"/>
      <c r="DY1364" s="8"/>
      <c r="DZ1364" s="8"/>
      <c r="EA1364" s="8"/>
      <c r="EB1364" s="8"/>
      <c r="EC1364" s="8"/>
      <c r="ED1364" s="8"/>
      <c r="EE1364" s="8"/>
      <c r="EF1364" s="8"/>
      <c r="EG1364" s="8"/>
      <c r="EH1364" s="8"/>
      <c r="EI1364" s="8"/>
      <c r="EJ1364" s="8"/>
      <c r="EK1364" s="8"/>
      <c r="EL1364" s="8"/>
      <c r="EM1364" s="8"/>
      <c r="EN1364" s="8"/>
      <c r="EO1364" s="8"/>
      <c r="EP1364" s="8"/>
      <c r="EQ1364" s="8"/>
      <c r="ER1364" s="8"/>
      <c r="ES1364" s="8"/>
      <c r="ET1364" s="8"/>
      <c r="EU1364" s="8"/>
      <c r="EV1364" s="8"/>
      <c r="EW1364" s="8"/>
      <c r="EX1364" s="8"/>
      <c r="EY1364" s="8"/>
      <c r="EZ1364" s="8"/>
      <c r="FA1364" s="8"/>
      <c r="FB1364" s="8"/>
      <c r="FC1364" s="8"/>
      <c r="FD1364" s="8"/>
      <c r="FE1364" s="8"/>
      <c r="FF1364" s="8"/>
      <c r="FG1364" s="8"/>
      <c r="FH1364" s="8"/>
      <c r="FI1364" s="8"/>
      <c r="FJ1364" s="8"/>
      <c r="FK1364" s="8"/>
      <c r="FL1364" s="8"/>
      <c r="FM1364" s="8"/>
      <c r="FN1364" s="8"/>
      <c r="FO1364" s="8"/>
      <c r="FP1364" s="8"/>
      <c r="FQ1364" s="8"/>
      <c r="FR1364" s="8"/>
      <c r="FS1364" s="8"/>
      <c r="FT1364" s="8"/>
      <c r="FU1364" s="8"/>
      <c r="FV1364" s="8"/>
      <c r="FW1364" s="8"/>
      <c r="FX1364" s="8"/>
      <c r="FY1364" s="8"/>
      <c r="FZ1364" s="8"/>
      <c r="GA1364" s="8"/>
      <c r="GB1364" s="8"/>
      <c r="GC1364" s="8"/>
      <c r="GD1364" s="8"/>
      <c r="GE1364" s="8"/>
      <c r="GF1364" s="8"/>
      <c r="GG1364" s="8"/>
      <c r="GH1364" s="8"/>
      <c r="GI1364" s="8"/>
      <c r="GJ1364" s="8"/>
      <c r="GK1364" s="8"/>
      <c r="GL1364" s="8"/>
      <c r="GM1364" s="8"/>
      <c r="GN1364" s="8"/>
      <c r="GO1364" s="8"/>
      <c r="GP1364" s="8"/>
      <c r="GQ1364" s="8"/>
      <c r="GR1364" s="8"/>
      <c r="GS1364" s="8"/>
      <c r="GT1364" s="8"/>
      <c r="GU1364" s="8"/>
      <c r="GV1364" s="8"/>
      <c r="GW1364" s="8"/>
      <c r="GX1364" s="8"/>
      <c r="GY1364" s="8"/>
      <c r="GZ1364" s="8"/>
      <c r="HA1364" s="8"/>
      <c r="HB1364" s="8"/>
      <c r="HC1364" s="8"/>
      <c r="HD1364" s="8"/>
      <c r="HE1364" s="8"/>
      <c r="HF1364" s="8"/>
      <c r="HG1364" s="8"/>
      <c r="HH1364" s="8"/>
      <c r="HI1364" s="8"/>
      <c r="HJ1364" s="8"/>
      <c r="HK1364" s="8"/>
      <c r="HL1364" s="8"/>
      <c r="HM1364" s="8"/>
      <c r="HN1364" s="8"/>
      <c r="HO1364" s="8"/>
      <c r="HP1364" s="8"/>
      <c r="HQ1364" s="8"/>
      <c r="HR1364" s="8"/>
      <c r="HS1364" s="8"/>
      <c r="HT1364" s="8"/>
      <c r="HU1364" s="8"/>
      <c r="HV1364" s="8"/>
      <c r="HW1364" s="8"/>
      <c r="HX1364" s="8"/>
      <c r="HY1364" s="8"/>
      <c r="HZ1364" s="8"/>
      <c r="IA1364" s="8"/>
      <c r="IB1364" s="8"/>
      <c r="IC1364" s="8"/>
      <c r="ID1364" s="8"/>
      <c r="IE1364" s="8"/>
      <c r="IF1364" s="8"/>
    </row>
    <row r="1365" spans="1:240">
      <c r="A1365" s="14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8"/>
      <c r="BS1365" s="8"/>
      <c r="BT1365" s="8"/>
      <c r="BU1365" s="8"/>
      <c r="BV1365" s="8"/>
      <c r="BW1365" s="8"/>
      <c r="BX1365" s="8"/>
      <c r="BY1365" s="8"/>
      <c r="BZ1365" s="8"/>
      <c r="CA1365" s="8"/>
      <c r="CB1365" s="8"/>
      <c r="CC1365" s="8"/>
      <c r="CD1365" s="8"/>
      <c r="CE1365" s="8"/>
      <c r="CF1365" s="8"/>
      <c r="CG1365" s="8"/>
      <c r="CH1365" s="8"/>
      <c r="CI1365" s="8"/>
      <c r="CJ1365" s="8"/>
      <c r="CK1365" s="8"/>
      <c r="CL1365" s="8"/>
      <c r="CM1365" s="8"/>
      <c r="CN1365" s="8"/>
      <c r="CO1365" s="8"/>
      <c r="CP1365" s="8"/>
      <c r="CQ1365" s="8"/>
      <c r="CR1365" s="8"/>
      <c r="CS1365" s="8"/>
      <c r="CT1365" s="8"/>
      <c r="CU1365" s="8"/>
      <c r="CV1365" s="8"/>
      <c r="CW1365" s="8"/>
      <c r="CX1365" s="8"/>
      <c r="CY1365" s="8"/>
      <c r="CZ1365" s="8"/>
      <c r="DA1365" s="8"/>
      <c r="DB1365" s="8"/>
      <c r="DC1365" s="8"/>
      <c r="DD1365" s="8"/>
      <c r="DE1365" s="8"/>
      <c r="DF1365" s="8"/>
      <c r="DG1365" s="8"/>
      <c r="DH1365" s="8"/>
      <c r="DI1365" s="8"/>
      <c r="DJ1365" s="8"/>
      <c r="DK1365" s="8"/>
      <c r="DL1365" s="8"/>
      <c r="DM1365" s="8"/>
      <c r="DN1365" s="8"/>
      <c r="DO1365" s="8"/>
      <c r="DP1365" s="8"/>
      <c r="DQ1365" s="8"/>
      <c r="DR1365" s="8"/>
      <c r="DS1365" s="8"/>
      <c r="DT1365" s="8"/>
      <c r="DU1365" s="8"/>
      <c r="DV1365" s="8"/>
      <c r="DW1365" s="8"/>
      <c r="DX1365" s="8"/>
      <c r="DY1365" s="8"/>
      <c r="DZ1365" s="8"/>
      <c r="EA1365" s="8"/>
      <c r="EB1365" s="8"/>
      <c r="EC1365" s="8"/>
      <c r="ED1365" s="8"/>
      <c r="EE1365" s="8"/>
      <c r="EF1365" s="8"/>
      <c r="EG1365" s="8"/>
      <c r="EH1365" s="8"/>
      <c r="EI1365" s="8"/>
      <c r="EJ1365" s="8"/>
      <c r="EK1365" s="8"/>
      <c r="EL1365" s="8"/>
      <c r="EM1365" s="8"/>
      <c r="EN1365" s="8"/>
      <c r="EO1365" s="8"/>
      <c r="EP1365" s="8"/>
      <c r="EQ1365" s="8"/>
      <c r="ER1365" s="8"/>
      <c r="ES1365" s="8"/>
      <c r="ET1365" s="8"/>
      <c r="EU1365" s="8"/>
      <c r="EV1365" s="8"/>
      <c r="EW1365" s="8"/>
      <c r="EX1365" s="8"/>
      <c r="EY1365" s="8"/>
      <c r="EZ1365" s="8"/>
      <c r="FA1365" s="8"/>
      <c r="FB1365" s="8"/>
      <c r="FC1365" s="8"/>
      <c r="FD1365" s="8"/>
      <c r="FE1365" s="8"/>
      <c r="FF1365" s="8"/>
      <c r="FG1365" s="8"/>
      <c r="FH1365" s="8"/>
      <c r="FI1365" s="8"/>
      <c r="FJ1365" s="8"/>
      <c r="FK1365" s="8"/>
      <c r="FL1365" s="8"/>
      <c r="FM1365" s="8"/>
      <c r="FN1365" s="8"/>
      <c r="FO1365" s="8"/>
      <c r="FP1365" s="8"/>
      <c r="FQ1365" s="8"/>
      <c r="FR1365" s="8"/>
      <c r="FS1365" s="8"/>
      <c r="FT1365" s="8"/>
      <c r="FU1365" s="8"/>
      <c r="FV1365" s="8"/>
      <c r="FW1365" s="8"/>
      <c r="FX1365" s="8"/>
      <c r="FY1365" s="8"/>
      <c r="FZ1365" s="8"/>
      <c r="GA1365" s="8"/>
      <c r="GB1365" s="8"/>
      <c r="GC1365" s="8"/>
      <c r="GD1365" s="8"/>
      <c r="GE1365" s="8"/>
      <c r="GF1365" s="8"/>
      <c r="GG1365" s="8"/>
      <c r="GH1365" s="8"/>
      <c r="GI1365" s="8"/>
      <c r="GJ1365" s="8"/>
      <c r="GK1365" s="8"/>
      <c r="GL1365" s="8"/>
      <c r="GM1365" s="8"/>
      <c r="GN1365" s="8"/>
      <c r="GO1365" s="8"/>
      <c r="GP1365" s="8"/>
      <c r="GQ1365" s="8"/>
      <c r="GR1365" s="8"/>
      <c r="GS1365" s="8"/>
      <c r="GT1365" s="8"/>
      <c r="GU1365" s="8"/>
      <c r="GV1365" s="8"/>
      <c r="GW1365" s="8"/>
      <c r="GX1365" s="8"/>
      <c r="GY1365" s="8"/>
      <c r="GZ1365" s="8"/>
      <c r="HA1365" s="8"/>
      <c r="HB1365" s="8"/>
      <c r="HC1365" s="8"/>
      <c r="HD1365" s="8"/>
      <c r="HE1365" s="8"/>
      <c r="HF1365" s="8"/>
      <c r="HG1365" s="8"/>
      <c r="HH1365" s="8"/>
      <c r="HI1365" s="8"/>
      <c r="HJ1365" s="8"/>
      <c r="HK1365" s="8"/>
      <c r="HL1365" s="8"/>
      <c r="HM1365" s="8"/>
      <c r="HN1365" s="8"/>
      <c r="HO1365" s="8"/>
      <c r="HP1365" s="8"/>
      <c r="HQ1365" s="8"/>
      <c r="HR1365" s="8"/>
      <c r="HS1365" s="8"/>
      <c r="HT1365" s="8"/>
      <c r="HU1365" s="8"/>
      <c r="HV1365" s="8"/>
      <c r="HW1365" s="8"/>
      <c r="HX1365" s="8"/>
      <c r="HY1365" s="8"/>
      <c r="HZ1365" s="8"/>
      <c r="IA1365" s="8"/>
      <c r="IB1365" s="8"/>
      <c r="IC1365" s="8"/>
      <c r="ID1365" s="8"/>
      <c r="IE1365" s="8"/>
      <c r="IF1365" s="8"/>
    </row>
    <row r="1366" spans="1:240">
      <c r="A1366" s="14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8"/>
      <c r="AP1366" s="8"/>
      <c r="AQ1366" s="8"/>
      <c r="AR1366" s="8"/>
      <c r="AS1366" s="8"/>
      <c r="AT1366" s="8"/>
      <c r="AU1366" s="8"/>
      <c r="AV1366" s="8"/>
      <c r="AW1366" s="8"/>
      <c r="AX1366" s="8"/>
      <c r="AY1366" s="8"/>
      <c r="AZ1366" s="8"/>
      <c r="BA1366" s="8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8"/>
      <c r="BS1366" s="8"/>
      <c r="BT1366" s="8"/>
      <c r="BU1366" s="8"/>
      <c r="BV1366" s="8"/>
      <c r="BW1366" s="8"/>
      <c r="BX1366" s="8"/>
      <c r="BY1366" s="8"/>
      <c r="BZ1366" s="8"/>
      <c r="CA1366" s="8"/>
      <c r="CB1366" s="8"/>
      <c r="CC1366" s="8"/>
      <c r="CD1366" s="8"/>
      <c r="CE1366" s="8"/>
      <c r="CF1366" s="8"/>
      <c r="CG1366" s="8"/>
      <c r="CH1366" s="8"/>
      <c r="CI1366" s="8"/>
      <c r="CJ1366" s="8"/>
      <c r="CK1366" s="8"/>
      <c r="CL1366" s="8"/>
      <c r="CM1366" s="8"/>
      <c r="CN1366" s="8"/>
      <c r="CO1366" s="8"/>
      <c r="CP1366" s="8"/>
      <c r="CQ1366" s="8"/>
      <c r="CR1366" s="8"/>
      <c r="CS1366" s="8"/>
      <c r="CT1366" s="8"/>
      <c r="CU1366" s="8"/>
      <c r="CV1366" s="8"/>
      <c r="CW1366" s="8"/>
      <c r="CX1366" s="8"/>
      <c r="CY1366" s="8"/>
      <c r="CZ1366" s="8"/>
      <c r="DA1366" s="8"/>
      <c r="DB1366" s="8"/>
      <c r="DC1366" s="8"/>
      <c r="DD1366" s="8"/>
      <c r="DE1366" s="8"/>
      <c r="DF1366" s="8"/>
      <c r="DG1366" s="8"/>
      <c r="DH1366" s="8"/>
      <c r="DI1366" s="8"/>
      <c r="DJ1366" s="8"/>
      <c r="DK1366" s="8"/>
      <c r="DL1366" s="8"/>
      <c r="DM1366" s="8"/>
      <c r="DN1366" s="8"/>
      <c r="DO1366" s="8"/>
      <c r="DP1366" s="8"/>
      <c r="DQ1366" s="8"/>
      <c r="DR1366" s="8"/>
      <c r="DS1366" s="8"/>
      <c r="DT1366" s="8"/>
      <c r="DU1366" s="8"/>
      <c r="DV1366" s="8"/>
      <c r="DW1366" s="8"/>
      <c r="DX1366" s="8"/>
      <c r="DY1366" s="8"/>
      <c r="DZ1366" s="8"/>
      <c r="EA1366" s="8"/>
      <c r="EB1366" s="8"/>
      <c r="EC1366" s="8"/>
      <c r="ED1366" s="8"/>
      <c r="EE1366" s="8"/>
      <c r="EF1366" s="8"/>
      <c r="EG1366" s="8"/>
      <c r="EH1366" s="8"/>
      <c r="EI1366" s="8"/>
      <c r="EJ1366" s="8"/>
      <c r="EK1366" s="8"/>
      <c r="EL1366" s="8"/>
      <c r="EM1366" s="8"/>
      <c r="EN1366" s="8"/>
      <c r="EO1366" s="8"/>
      <c r="EP1366" s="8"/>
      <c r="EQ1366" s="8"/>
      <c r="ER1366" s="8"/>
      <c r="ES1366" s="8"/>
      <c r="ET1366" s="8"/>
      <c r="EU1366" s="8"/>
      <c r="EV1366" s="8"/>
      <c r="EW1366" s="8"/>
      <c r="EX1366" s="8"/>
      <c r="EY1366" s="8"/>
      <c r="EZ1366" s="8"/>
      <c r="FA1366" s="8"/>
      <c r="FB1366" s="8"/>
      <c r="FC1366" s="8"/>
      <c r="FD1366" s="8"/>
      <c r="FE1366" s="8"/>
      <c r="FF1366" s="8"/>
      <c r="FG1366" s="8"/>
      <c r="FH1366" s="8"/>
      <c r="FI1366" s="8"/>
      <c r="FJ1366" s="8"/>
      <c r="FK1366" s="8"/>
      <c r="FL1366" s="8"/>
      <c r="FM1366" s="8"/>
      <c r="FN1366" s="8"/>
      <c r="FO1366" s="8"/>
      <c r="FP1366" s="8"/>
      <c r="FQ1366" s="8"/>
      <c r="FR1366" s="8"/>
      <c r="FS1366" s="8"/>
      <c r="FT1366" s="8"/>
      <c r="FU1366" s="8"/>
      <c r="FV1366" s="8"/>
      <c r="FW1366" s="8"/>
      <c r="FX1366" s="8"/>
      <c r="FY1366" s="8"/>
      <c r="FZ1366" s="8"/>
      <c r="GA1366" s="8"/>
      <c r="GB1366" s="8"/>
      <c r="GC1366" s="8"/>
      <c r="GD1366" s="8"/>
      <c r="GE1366" s="8"/>
      <c r="GF1366" s="8"/>
      <c r="GG1366" s="8"/>
      <c r="GH1366" s="8"/>
      <c r="GI1366" s="8"/>
      <c r="GJ1366" s="8"/>
      <c r="GK1366" s="8"/>
      <c r="GL1366" s="8"/>
      <c r="GM1366" s="8"/>
      <c r="GN1366" s="8"/>
      <c r="GO1366" s="8"/>
      <c r="GP1366" s="8"/>
      <c r="GQ1366" s="8"/>
      <c r="GR1366" s="8"/>
      <c r="GS1366" s="8"/>
      <c r="GT1366" s="8"/>
      <c r="GU1366" s="8"/>
      <c r="GV1366" s="8"/>
      <c r="GW1366" s="8"/>
      <c r="GX1366" s="8"/>
      <c r="GY1366" s="8"/>
      <c r="GZ1366" s="8"/>
      <c r="HA1366" s="8"/>
      <c r="HB1366" s="8"/>
      <c r="HC1366" s="8"/>
      <c r="HD1366" s="8"/>
      <c r="HE1366" s="8"/>
      <c r="HF1366" s="8"/>
      <c r="HG1366" s="8"/>
      <c r="HH1366" s="8"/>
      <c r="HI1366" s="8"/>
      <c r="HJ1366" s="8"/>
      <c r="HK1366" s="8"/>
      <c r="HL1366" s="8"/>
      <c r="HM1366" s="8"/>
      <c r="HN1366" s="8"/>
      <c r="HO1366" s="8"/>
      <c r="HP1366" s="8"/>
      <c r="HQ1366" s="8"/>
      <c r="HR1366" s="8"/>
      <c r="HS1366" s="8"/>
      <c r="HT1366" s="8"/>
      <c r="HU1366" s="8"/>
      <c r="HV1366" s="8"/>
      <c r="HW1366" s="8"/>
      <c r="HX1366" s="8"/>
      <c r="HY1366" s="8"/>
      <c r="HZ1366" s="8"/>
      <c r="IA1366" s="8"/>
      <c r="IB1366" s="8"/>
      <c r="IC1366" s="8"/>
      <c r="ID1366" s="8"/>
      <c r="IE1366" s="8"/>
      <c r="IF1366" s="8"/>
    </row>
    <row r="1367" spans="1:240">
      <c r="A1367" s="14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8"/>
      <c r="BS1367" s="8"/>
      <c r="BT1367" s="8"/>
      <c r="BU1367" s="8"/>
      <c r="BV1367" s="8"/>
      <c r="BW1367" s="8"/>
      <c r="BX1367" s="8"/>
      <c r="BY1367" s="8"/>
      <c r="BZ1367" s="8"/>
      <c r="CA1367" s="8"/>
      <c r="CB1367" s="8"/>
      <c r="CC1367" s="8"/>
      <c r="CD1367" s="8"/>
      <c r="CE1367" s="8"/>
      <c r="CF1367" s="8"/>
      <c r="CG1367" s="8"/>
      <c r="CH1367" s="8"/>
      <c r="CI1367" s="8"/>
      <c r="CJ1367" s="8"/>
      <c r="CK1367" s="8"/>
      <c r="CL1367" s="8"/>
      <c r="CM1367" s="8"/>
      <c r="CN1367" s="8"/>
      <c r="CO1367" s="8"/>
      <c r="CP1367" s="8"/>
      <c r="CQ1367" s="8"/>
      <c r="CR1367" s="8"/>
      <c r="CS1367" s="8"/>
      <c r="CT1367" s="8"/>
      <c r="CU1367" s="8"/>
      <c r="CV1367" s="8"/>
      <c r="CW1367" s="8"/>
      <c r="CX1367" s="8"/>
      <c r="CY1367" s="8"/>
      <c r="CZ1367" s="8"/>
      <c r="DA1367" s="8"/>
      <c r="DB1367" s="8"/>
      <c r="DC1367" s="8"/>
      <c r="DD1367" s="8"/>
      <c r="DE1367" s="8"/>
      <c r="DF1367" s="8"/>
      <c r="DG1367" s="8"/>
      <c r="DH1367" s="8"/>
      <c r="DI1367" s="8"/>
      <c r="DJ1367" s="8"/>
      <c r="DK1367" s="8"/>
      <c r="DL1367" s="8"/>
      <c r="DM1367" s="8"/>
      <c r="DN1367" s="8"/>
      <c r="DO1367" s="8"/>
      <c r="DP1367" s="8"/>
      <c r="DQ1367" s="8"/>
      <c r="DR1367" s="8"/>
      <c r="DS1367" s="8"/>
      <c r="DT1367" s="8"/>
      <c r="DU1367" s="8"/>
      <c r="DV1367" s="8"/>
      <c r="DW1367" s="8"/>
      <c r="DX1367" s="8"/>
      <c r="DY1367" s="8"/>
      <c r="DZ1367" s="8"/>
      <c r="EA1367" s="8"/>
      <c r="EB1367" s="8"/>
      <c r="EC1367" s="8"/>
      <c r="ED1367" s="8"/>
      <c r="EE1367" s="8"/>
      <c r="EF1367" s="8"/>
      <c r="EG1367" s="8"/>
      <c r="EH1367" s="8"/>
      <c r="EI1367" s="8"/>
      <c r="EJ1367" s="8"/>
      <c r="EK1367" s="8"/>
      <c r="EL1367" s="8"/>
      <c r="EM1367" s="8"/>
      <c r="EN1367" s="8"/>
      <c r="EO1367" s="8"/>
      <c r="EP1367" s="8"/>
      <c r="EQ1367" s="8"/>
      <c r="ER1367" s="8"/>
      <c r="ES1367" s="8"/>
      <c r="ET1367" s="8"/>
      <c r="EU1367" s="8"/>
      <c r="EV1367" s="8"/>
      <c r="EW1367" s="8"/>
      <c r="EX1367" s="8"/>
      <c r="EY1367" s="8"/>
      <c r="EZ1367" s="8"/>
      <c r="FA1367" s="8"/>
      <c r="FB1367" s="8"/>
      <c r="FC1367" s="8"/>
      <c r="FD1367" s="8"/>
      <c r="FE1367" s="8"/>
      <c r="FF1367" s="8"/>
      <c r="FG1367" s="8"/>
      <c r="FH1367" s="8"/>
      <c r="FI1367" s="8"/>
      <c r="FJ1367" s="8"/>
      <c r="FK1367" s="8"/>
      <c r="FL1367" s="8"/>
      <c r="FM1367" s="8"/>
      <c r="FN1367" s="8"/>
      <c r="FO1367" s="8"/>
      <c r="FP1367" s="8"/>
      <c r="FQ1367" s="8"/>
      <c r="FR1367" s="8"/>
      <c r="FS1367" s="8"/>
      <c r="FT1367" s="8"/>
      <c r="FU1367" s="8"/>
      <c r="FV1367" s="8"/>
      <c r="FW1367" s="8"/>
      <c r="FX1367" s="8"/>
      <c r="FY1367" s="8"/>
      <c r="FZ1367" s="8"/>
      <c r="GA1367" s="8"/>
      <c r="GB1367" s="8"/>
      <c r="GC1367" s="8"/>
      <c r="GD1367" s="8"/>
      <c r="GE1367" s="8"/>
      <c r="GF1367" s="8"/>
      <c r="GG1367" s="8"/>
      <c r="GH1367" s="8"/>
      <c r="GI1367" s="8"/>
      <c r="GJ1367" s="8"/>
      <c r="GK1367" s="8"/>
      <c r="GL1367" s="8"/>
      <c r="GM1367" s="8"/>
      <c r="GN1367" s="8"/>
      <c r="GO1367" s="8"/>
      <c r="GP1367" s="8"/>
      <c r="GQ1367" s="8"/>
      <c r="GR1367" s="8"/>
      <c r="GS1367" s="8"/>
      <c r="GT1367" s="8"/>
      <c r="GU1367" s="8"/>
      <c r="GV1367" s="8"/>
      <c r="GW1367" s="8"/>
      <c r="GX1367" s="8"/>
      <c r="GY1367" s="8"/>
      <c r="GZ1367" s="8"/>
      <c r="HA1367" s="8"/>
      <c r="HB1367" s="8"/>
      <c r="HC1367" s="8"/>
      <c r="HD1367" s="8"/>
      <c r="HE1367" s="8"/>
      <c r="HF1367" s="8"/>
      <c r="HG1367" s="8"/>
      <c r="HH1367" s="8"/>
      <c r="HI1367" s="8"/>
      <c r="HJ1367" s="8"/>
      <c r="HK1367" s="8"/>
      <c r="HL1367" s="8"/>
      <c r="HM1367" s="8"/>
      <c r="HN1367" s="8"/>
      <c r="HO1367" s="8"/>
      <c r="HP1367" s="8"/>
      <c r="HQ1367" s="8"/>
      <c r="HR1367" s="8"/>
      <c r="HS1367" s="8"/>
      <c r="HT1367" s="8"/>
      <c r="HU1367" s="8"/>
      <c r="HV1367" s="8"/>
      <c r="HW1367" s="8"/>
      <c r="HX1367" s="8"/>
      <c r="HY1367" s="8"/>
      <c r="HZ1367" s="8"/>
      <c r="IA1367" s="8"/>
      <c r="IB1367" s="8"/>
      <c r="IC1367" s="8"/>
      <c r="ID1367" s="8"/>
      <c r="IE1367" s="8"/>
      <c r="IF1367" s="8"/>
    </row>
    <row r="1368" spans="1:240">
      <c r="A1368" s="14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8"/>
      <c r="BS1368" s="8"/>
      <c r="BT1368" s="8"/>
      <c r="BU1368" s="8"/>
      <c r="BV1368" s="8"/>
      <c r="BW1368" s="8"/>
      <c r="BX1368" s="8"/>
      <c r="BY1368" s="8"/>
      <c r="BZ1368" s="8"/>
      <c r="CA1368" s="8"/>
      <c r="CB1368" s="8"/>
      <c r="CC1368" s="8"/>
      <c r="CD1368" s="8"/>
      <c r="CE1368" s="8"/>
      <c r="CF1368" s="8"/>
      <c r="CG1368" s="8"/>
      <c r="CH1368" s="8"/>
      <c r="CI1368" s="8"/>
      <c r="CJ1368" s="8"/>
      <c r="CK1368" s="8"/>
      <c r="CL1368" s="8"/>
      <c r="CM1368" s="8"/>
      <c r="CN1368" s="8"/>
      <c r="CO1368" s="8"/>
      <c r="CP1368" s="8"/>
      <c r="CQ1368" s="8"/>
      <c r="CR1368" s="8"/>
      <c r="CS1368" s="8"/>
      <c r="CT1368" s="8"/>
      <c r="CU1368" s="8"/>
      <c r="CV1368" s="8"/>
      <c r="CW1368" s="8"/>
      <c r="CX1368" s="8"/>
      <c r="CY1368" s="8"/>
      <c r="CZ1368" s="8"/>
      <c r="DA1368" s="8"/>
      <c r="DB1368" s="8"/>
      <c r="DC1368" s="8"/>
      <c r="DD1368" s="8"/>
      <c r="DE1368" s="8"/>
      <c r="DF1368" s="8"/>
      <c r="DG1368" s="8"/>
      <c r="DH1368" s="8"/>
      <c r="DI1368" s="8"/>
      <c r="DJ1368" s="8"/>
      <c r="DK1368" s="8"/>
      <c r="DL1368" s="8"/>
      <c r="DM1368" s="8"/>
      <c r="DN1368" s="8"/>
      <c r="DO1368" s="8"/>
      <c r="DP1368" s="8"/>
      <c r="DQ1368" s="8"/>
      <c r="DR1368" s="8"/>
      <c r="DS1368" s="8"/>
      <c r="DT1368" s="8"/>
      <c r="DU1368" s="8"/>
      <c r="DV1368" s="8"/>
      <c r="DW1368" s="8"/>
      <c r="DX1368" s="8"/>
      <c r="DY1368" s="8"/>
      <c r="DZ1368" s="8"/>
      <c r="EA1368" s="8"/>
      <c r="EB1368" s="8"/>
      <c r="EC1368" s="8"/>
      <c r="ED1368" s="8"/>
      <c r="EE1368" s="8"/>
      <c r="EF1368" s="8"/>
      <c r="EG1368" s="8"/>
      <c r="EH1368" s="8"/>
      <c r="EI1368" s="8"/>
      <c r="EJ1368" s="8"/>
      <c r="EK1368" s="8"/>
      <c r="EL1368" s="8"/>
      <c r="EM1368" s="8"/>
      <c r="EN1368" s="8"/>
      <c r="EO1368" s="8"/>
      <c r="EP1368" s="8"/>
      <c r="EQ1368" s="8"/>
      <c r="ER1368" s="8"/>
      <c r="ES1368" s="8"/>
      <c r="ET1368" s="8"/>
      <c r="EU1368" s="8"/>
      <c r="EV1368" s="8"/>
      <c r="EW1368" s="8"/>
      <c r="EX1368" s="8"/>
      <c r="EY1368" s="8"/>
      <c r="EZ1368" s="8"/>
      <c r="FA1368" s="8"/>
      <c r="FB1368" s="8"/>
      <c r="FC1368" s="8"/>
      <c r="FD1368" s="8"/>
      <c r="FE1368" s="8"/>
      <c r="FF1368" s="8"/>
      <c r="FG1368" s="8"/>
      <c r="FH1368" s="8"/>
      <c r="FI1368" s="8"/>
      <c r="FJ1368" s="8"/>
      <c r="FK1368" s="8"/>
      <c r="FL1368" s="8"/>
      <c r="FM1368" s="8"/>
      <c r="FN1368" s="8"/>
      <c r="FO1368" s="8"/>
      <c r="FP1368" s="8"/>
      <c r="FQ1368" s="8"/>
      <c r="FR1368" s="8"/>
      <c r="FS1368" s="8"/>
      <c r="FT1368" s="8"/>
      <c r="FU1368" s="8"/>
      <c r="FV1368" s="8"/>
      <c r="FW1368" s="8"/>
      <c r="FX1368" s="8"/>
      <c r="FY1368" s="8"/>
      <c r="FZ1368" s="8"/>
      <c r="GA1368" s="8"/>
      <c r="GB1368" s="8"/>
      <c r="GC1368" s="8"/>
      <c r="GD1368" s="8"/>
      <c r="GE1368" s="8"/>
      <c r="GF1368" s="8"/>
      <c r="GG1368" s="8"/>
      <c r="GH1368" s="8"/>
      <c r="GI1368" s="8"/>
      <c r="GJ1368" s="8"/>
      <c r="GK1368" s="8"/>
      <c r="GL1368" s="8"/>
      <c r="GM1368" s="8"/>
      <c r="GN1368" s="8"/>
      <c r="GO1368" s="8"/>
      <c r="GP1368" s="8"/>
      <c r="GQ1368" s="8"/>
      <c r="GR1368" s="8"/>
      <c r="GS1368" s="8"/>
      <c r="GT1368" s="8"/>
      <c r="GU1368" s="8"/>
      <c r="GV1368" s="8"/>
      <c r="GW1368" s="8"/>
      <c r="GX1368" s="8"/>
      <c r="GY1368" s="8"/>
      <c r="GZ1368" s="8"/>
      <c r="HA1368" s="8"/>
      <c r="HB1368" s="8"/>
      <c r="HC1368" s="8"/>
      <c r="HD1368" s="8"/>
      <c r="HE1368" s="8"/>
      <c r="HF1368" s="8"/>
      <c r="HG1368" s="8"/>
      <c r="HH1368" s="8"/>
      <c r="HI1368" s="8"/>
      <c r="HJ1368" s="8"/>
      <c r="HK1368" s="8"/>
      <c r="HL1368" s="8"/>
      <c r="HM1368" s="8"/>
      <c r="HN1368" s="8"/>
      <c r="HO1368" s="8"/>
      <c r="HP1368" s="8"/>
      <c r="HQ1368" s="8"/>
      <c r="HR1368" s="8"/>
      <c r="HS1368" s="8"/>
      <c r="HT1368" s="8"/>
      <c r="HU1368" s="8"/>
      <c r="HV1368" s="8"/>
      <c r="HW1368" s="8"/>
      <c r="HX1368" s="8"/>
      <c r="HY1368" s="8"/>
      <c r="HZ1368" s="8"/>
      <c r="IA1368" s="8"/>
      <c r="IB1368" s="8"/>
      <c r="IC1368" s="8"/>
      <c r="ID1368" s="8"/>
      <c r="IE1368" s="8"/>
      <c r="IF1368" s="8"/>
    </row>
    <row r="1369" spans="1:240">
      <c r="A1369" s="14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8"/>
      <c r="AP1369" s="8"/>
      <c r="AQ1369" s="8"/>
      <c r="AR1369" s="8"/>
      <c r="AS1369" s="8"/>
      <c r="AT1369" s="8"/>
      <c r="AU1369" s="8"/>
      <c r="AV1369" s="8"/>
      <c r="AW1369" s="8"/>
      <c r="AX1369" s="8"/>
      <c r="AY1369" s="8"/>
      <c r="AZ1369" s="8"/>
      <c r="BA1369" s="8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8"/>
      <c r="BS1369" s="8"/>
      <c r="BT1369" s="8"/>
      <c r="BU1369" s="8"/>
      <c r="BV1369" s="8"/>
      <c r="BW1369" s="8"/>
      <c r="BX1369" s="8"/>
      <c r="BY1369" s="8"/>
      <c r="BZ1369" s="8"/>
      <c r="CA1369" s="8"/>
      <c r="CB1369" s="8"/>
      <c r="CC1369" s="8"/>
      <c r="CD1369" s="8"/>
      <c r="CE1369" s="8"/>
      <c r="CF1369" s="8"/>
      <c r="CG1369" s="8"/>
      <c r="CH1369" s="8"/>
      <c r="CI1369" s="8"/>
      <c r="CJ1369" s="8"/>
      <c r="CK1369" s="8"/>
      <c r="CL1369" s="8"/>
      <c r="CM1369" s="8"/>
      <c r="CN1369" s="8"/>
      <c r="CO1369" s="8"/>
      <c r="CP1369" s="8"/>
      <c r="CQ1369" s="8"/>
      <c r="CR1369" s="8"/>
      <c r="CS1369" s="8"/>
      <c r="CT1369" s="8"/>
      <c r="CU1369" s="8"/>
      <c r="CV1369" s="8"/>
      <c r="CW1369" s="8"/>
      <c r="CX1369" s="8"/>
      <c r="CY1369" s="8"/>
      <c r="CZ1369" s="8"/>
      <c r="DA1369" s="8"/>
      <c r="DB1369" s="8"/>
      <c r="DC1369" s="8"/>
      <c r="DD1369" s="8"/>
      <c r="DE1369" s="8"/>
      <c r="DF1369" s="8"/>
      <c r="DG1369" s="8"/>
      <c r="DH1369" s="8"/>
      <c r="DI1369" s="8"/>
      <c r="DJ1369" s="8"/>
      <c r="DK1369" s="8"/>
      <c r="DL1369" s="8"/>
      <c r="DM1369" s="8"/>
      <c r="DN1369" s="8"/>
      <c r="DO1369" s="8"/>
      <c r="DP1369" s="8"/>
      <c r="DQ1369" s="8"/>
      <c r="DR1369" s="8"/>
      <c r="DS1369" s="8"/>
      <c r="DT1369" s="8"/>
      <c r="DU1369" s="8"/>
      <c r="DV1369" s="8"/>
      <c r="DW1369" s="8"/>
      <c r="DX1369" s="8"/>
      <c r="DY1369" s="8"/>
      <c r="DZ1369" s="8"/>
      <c r="EA1369" s="8"/>
      <c r="EB1369" s="8"/>
      <c r="EC1369" s="8"/>
      <c r="ED1369" s="8"/>
      <c r="EE1369" s="8"/>
      <c r="EF1369" s="8"/>
      <c r="EG1369" s="8"/>
      <c r="EH1369" s="8"/>
      <c r="EI1369" s="8"/>
      <c r="EJ1369" s="8"/>
      <c r="EK1369" s="8"/>
      <c r="EL1369" s="8"/>
      <c r="EM1369" s="8"/>
      <c r="EN1369" s="8"/>
      <c r="EO1369" s="8"/>
      <c r="EP1369" s="8"/>
      <c r="EQ1369" s="8"/>
      <c r="ER1369" s="8"/>
      <c r="ES1369" s="8"/>
      <c r="ET1369" s="8"/>
      <c r="EU1369" s="8"/>
      <c r="EV1369" s="8"/>
      <c r="EW1369" s="8"/>
      <c r="EX1369" s="8"/>
      <c r="EY1369" s="8"/>
      <c r="EZ1369" s="8"/>
      <c r="FA1369" s="8"/>
      <c r="FB1369" s="8"/>
      <c r="FC1369" s="8"/>
      <c r="FD1369" s="8"/>
      <c r="FE1369" s="8"/>
      <c r="FF1369" s="8"/>
      <c r="FG1369" s="8"/>
      <c r="FH1369" s="8"/>
      <c r="FI1369" s="8"/>
      <c r="FJ1369" s="8"/>
      <c r="FK1369" s="8"/>
      <c r="FL1369" s="8"/>
      <c r="FM1369" s="8"/>
      <c r="FN1369" s="8"/>
      <c r="FO1369" s="8"/>
      <c r="FP1369" s="8"/>
      <c r="FQ1369" s="8"/>
      <c r="FR1369" s="8"/>
      <c r="FS1369" s="8"/>
      <c r="FT1369" s="8"/>
      <c r="FU1369" s="8"/>
      <c r="FV1369" s="8"/>
      <c r="FW1369" s="8"/>
      <c r="FX1369" s="8"/>
      <c r="FY1369" s="8"/>
      <c r="FZ1369" s="8"/>
      <c r="GA1369" s="8"/>
      <c r="GB1369" s="8"/>
      <c r="GC1369" s="8"/>
      <c r="GD1369" s="8"/>
      <c r="GE1369" s="8"/>
      <c r="GF1369" s="8"/>
      <c r="GG1369" s="8"/>
      <c r="GH1369" s="8"/>
      <c r="GI1369" s="8"/>
      <c r="GJ1369" s="8"/>
      <c r="GK1369" s="8"/>
      <c r="GL1369" s="8"/>
      <c r="GM1369" s="8"/>
      <c r="GN1369" s="8"/>
      <c r="GO1369" s="8"/>
      <c r="GP1369" s="8"/>
      <c r="GQ1369" s="8"/>
      <c r="GR1369" s="8"/>
      <c r="GS1369" s="8"/>
      <c r="GT1369" s="8"/>
      <c r="GU1369" s="8"/>
      <c r="GV1369" s="8"/>
      <c r="GW1369" s="8"/>
      <c r="GX1369" s="8"/>
      <c r="GY1369" s="8"/>
      <c r="GZ1369" s="8"/>
      <c r="HA1369" s="8"/>
      <c r="HB1369" s="8"/>
      <c r="HC1369" s="8"/>
      <c r="HD1369" s="8"/>
      <c r="HE1369" s="8"/>
      <c r="HF1369" s="8"/>
      <c r="HG1369" s="8"/>
      <c r="HH1369" s="8"/>
      <c r="HI1369" s="8"/>
      <c r="HJ1369" s="8"/>
      <c r="HK1369" s="8"/>
      <c r="HL1369" s="8"/>
      <c r="HM1369" s="8"/>
      <c r="HN1369" s="8"/>
      <c r="HO1369" s="8"/>
      <c r="HP1369" s="8"/>
      <c r="HQ1369" s="8"/>
      <c r="HR1369" s="8"/>
      <c r="HS1369" s="8"/>
      <c r="HT1369" s="8"/>
      <c r="HU1369" s="8"/>
      <c r="HV1369" s="8"/>
      <c r="HW1369" s="8"/>
      <c r="HX1369" s="8"/>
      <c r="HY1369" s="8"/>
      <c r="HZ1369" s="8"/>
      <c r="IA1369" s="8"/>
      <c r="IB1369" s="8"/>
      <c r="IC1369" s="8"/>
      <c r="ID1369" s="8"/>
      <c r="IE1369" s="8"/>
      <c r="IF1369" s="8"/>
    </row>
    <row r="1370" spans="1:240">
      <c r="A1370" s="14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8"/>
      <c r="BS1370" s="8"/>
      <c r="BT1370" s="8"/>
      <c r="BU1370" s="8"/>
      <c r="BV1370" s="8"/>
      <c r="BW1370" s="8"/>
      <c r="BX1370" s="8"/>
      <c r="BY1370" s="8"/>
      <c r="BZ1370" s="8"/>
      <c r="CA1370" s="8"/>
      <c r="CB1370" s="8"/>
      <c r="CC1370" s="8"/>
      <c r="CD1370" s="8"/>
      <c r="CE1370" s="8"/>
      <c r="CF1370" s="8"/>
      <c r="CG1370" s="8"/>
      <c r="CH1370" s="8"/>
      <c r="CI1370" s="8"/>
      <c r="CJ1370" s="8"/>
      <c r="CK1370" s="8"/>
      <c r="CL1370" s="8"/>
      <c r="CM1370" s="8"/>
      <c r="CN1370" s="8"/>
      <c r="CO1370" s="8"/>
      <c r="CP1370" s="8"/>
      <c r="CQ1370" s="8"/>
      <c r="CR1370" s="8"/>
      <c r="CS1370" s="8"/>
      <c r="CT1370" s="8"/>
      <c r="CU1370" s="8"/>
      <c r="CV1370" s="8"/>
      <c r="CW1370" s="8"/>
      <c r="CX1370" s="8"/>
      <c r="CY1370" s="8"/>
      <c r="CZ1370" s="8"/>
      <c r="DA1370" s="8"/>
      <c r="DB1370" s="8"/>
      <c r="DC1370" s="8"/>
      <c r="DD1370" s="8"/>
      <c r="DE1370" s="8"/>
      <c r="DF1370" s="8"/>
      <c r="DG1370" s="8"/>
      <c r="DH1370" s="8"/>
      <c r="DI1370" s="8"/>
      <c r="DJ1370" s="8"/>
      <c r="DK1370" s="8"/>
      <c r="DL1370" s="8"/>
      <c r="DM1370" s="8"/>
      <c r="DN1370" s="8"/>
      <c r="DO1370" s="8"/>
      <c r="DP1370" s="8"/>
      <c r="DQ1370" s="8"/>
      <c r="DR1370" s="8"/>
      <c r="DS1370" s="8"/>
      <c r="DT1370" s="8"/>
      <c r="DU1370" s="8"/>
      <c r="DV1370" s="8"/>
      <c r="DW1370" s="8"/>
      <c r="DX1370" s="8"/>
      <c r="DY1370" s="8"/>
      <c r="DZ1370" s="8"/>
      <c r="EA1370" s="8"/>
      <c r="EB1370" s="8"/>
      <c r="EC1370" s="8"/>
      <c r="ED1370" s="8"/>
      <c r="EE1370" s="8"/>
      <c r="EF1370" s="8"/>
      <c r="EG1370" s="8"/>
      <c r="EH1370" s="8"/>
      <c r="EI1370" s="8"/>
      <c r="EJ1370" s="8"/>
      <c r="EK1370" s="8"/>
      <c r="EL1370" s="8"/>
      <c r="EM1370" s="8"/>
      <c r="EN1370" s="8"/>
      <c r="EO1370" s="8"/>
      <c r="EP1370" s="8"/>
      <c r="EQ1370" s="8"/>
      <c r="ER1370" s="8"/>
      <c r="ES1370" s="8"/>
      <c r="ET1370" s="8"/>
      <c r="EU1370" s="8"/>
      <c r="EV1370" s="8"/>
      <c r="EW1370" s="8"/>
      <c r="EX1370" s="8"/>
      <c r="EY1370" s="8"/>
      <c r="EZ1370" s="8"/>
      <c r="FA1370" s="8"/>
      <c r="FB1370" s="8"/>
      <c r="FC1370" s="8"/>
      <c r="FD1370" s="8"/>
      <c r="FE1370" s="8"/>
      <c r="FF1370" s="8"/>
      <c r="FG1370" s="8"/>
      <c r="FH1370" s="8"/>
      <c r="FI1370" s="8"/>
      <c r="FJ1370" s="8"/>
      <c r="FK1370" s="8"/>
      <c r="FL1370" s="8"/>
      <c r="FM1370" s="8"/>
      <c r="FN1370" s="8"/>
      <c r="FO1370" s="8"/>
      <c r="FP1370" s="8"/>
      <c r="FQ1370" s="8"/>
      <c r="FR1370" s="8"/>
      <c r="FS1370" s="8"/>
      <c r="FT1370" s="8"/>
      <c r="FU1370" s="8"/>
      <c r="FV1370" s="8"/>
      <c r="FW1370" s="8"/>
      <c r="FX1370" s="8"/>
      <c r="FY1370" s="8"/>
      <c r="FZ1370" s="8"/>
      <c r="GA1370" s="8"/>
      <c r="GB1370" s="8"/>
      <c r="GC1370" s="8"/>
      <c r="GD1370" s="8"/>
      <c r="GE1370" s="8"/>
      <c r="GF1370" s="8"/>
      <c r="GG1370" s="8"/>
      <c r="GH1370" s="8"/>
      <c r="GI1370" s="8"/>
      <c r="GJ1370" s="8"/>
      <c r="GK1370" s="8"/>
      <c r="GL1370" s="8"/>
      <c r="GM1370" s="8"/>
      <c r="GN1370" s="8"/>
      <c r="GO1370" s="8"/>
      <c r="GP1370" s="8"/>
      <c r="GQ1370" s="8"/>
      <c r="GR1370" s="8"/>
      <c r="GS1370" s="8"/>
      <c r="GT1370" s="8"/>
      <c r="GU1370" s="8"/>
      <c r="GV1370" s="8"/>
      <c r="GW1370" s="8"/>
      <c r="GX1370" s="8"/>
      <c r="GY1370" s="8"/>
      <c r="GZ1370" s="8"/>
      <c r="HA1370" s="8"/>
      <c r="HB1370" s="8"/>
      <c r="HC1370" s="8"/>
      <c r="HD1370" s="8"/>
      <c r="HE1370" s="8"/>
      <c r="HF1370" s="8"/>
      <c r="HG1370" s="8"/>
      <c r="HH1370" s="8"/>
      <c r="HI1370" s="8"/>
      <c r="HJ1370" s="8"/>
      <c r="HK1370" s="8"/>
      <c r="HL1370" s="8"/>
      <c r="HM1370" s="8"/>
      <c r="HN1370" s="8"/>
      <c r="HO1370" s="8"/>
      <c r="HP1370" s="8"/>
      <c r="HQ1370" s="8"/>
      <c r="HR1370" s="8"/>
      <c r="HS1370" s="8"/>
      <c r="HT1370" s="8"/>
      <c r="HU1370" s="8"/>
      <c r="HV1370" s="8"/>
      <c r="HW1370" s="8"/>
      <c r="HX1370" s="8"/>
      <c r="HY1370" s="8"/>
      <c r="HZ1370" s="8"/>
      <c r="IA1370" s="8"/>
      <c r="IB1370" s="8"/>
      <c r="IC1370" s="8"/>
      <c r="ID1370" s="8"/>
      <c r="IE1370" s="8"/>
      <c r="IF1370" s="8"/>
    </row>
    <row r="1371" spans="1:240">
      <c r="A1371" s="14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8"/>
      <c r="BS1371" s="8"/>
      <c r="BT1371" s="8"/>
      <c r="BU1371" s="8"/>
      <c r="BV1371" s="8"/>
      <c r="BW1371" s="8"/>
      <c r="BX1371" s="8"/>
      <c r="BY1371" s="8"/>
      <c r="BZ1371" s="8"/>
      <c r="CA1371" s="8"/>
      <c r="CB1371" s="8"/>
      <c r="CC1371" s="8"/>
      <c r="CD1371" s="8"/>
      <c r="CE1371" s="8"/>
      <c r="CF1371" s="8"/>
      <c r="CG1371" s="8"/>
      <c r="CH1371" s="8"/>
      <c r="CI1371" s="8"/>
      <c r="CJ1371" s="8"/>
      <c r="CK1371" s="8"/>
      <c r="CL1371" s="8"/>
      <c r="CM1371" s="8"/>
      <c r="CN1371" s="8"/>
      <c r="CO1371" s="8"/>
      <c r="CP1371" s="8"/>
      <c r="CQ1371" s="8"/>
      <c r="CR1371" s="8"/>
      <c r="CS1371" s="8"/>
      <c r="CT1371" s="8"/>
      <c r="CU1371" s="8"/>
      <c r="CV1371" s="8"/>
      <c r="CW1371" s="8"/>
      <c r="CX1371" s="8"/>
      <c r="CY1371" s="8"/>
      <c r="CZ1371" s="8"/>
      <c r="DA1371" s="8"/>
      <c r="DB1371" s="8"/>
      <c r="DC1371" s="8"/>
      <c r="DD1371" s="8"/>
      <c r="DE1371" s="8"/>
      <c r="DF1371" s="8"/>
      <c r="DG1371" s="8"/>
      <c r="DH1371" s="8"/>
      <c r="DI1371" s="8"/>
      <c r="DJ1371" s="8"/>
      <c r="DK1371" s="8"/>
      <c r="DL1371" s="8"/>
      <c r="DM1371" s="8"/>
      <c r="DN1371" s="8"/>
      <c r="DO1371" s="8"/>
      <c r="DP1371" s="8"/>
      <c r="DQ1371" s="8"/>
      <c r="DR1371" s="8"/>
      <c r="DS1371" s="8"/>
      <c r="DT1371" s="8"/>
      <c r="DU1371" s="8"/>
      <c r="DV1371" s="8"/>
      <c r="DW1371" s="8"/>
      <c r="DX1371" s="8"/>
      <c r="DY1371" s="8"/>
      <c r="DZ1371" s="8"/>
      <c r="EA1371" s="8"/>
      <c r="EB1371" s="8"/>
      <c r="EC1371" s="8"/>
      <c r="ED1371" s="8"/>
      <c r="EE1371" s="8"/>
      <c r="EF1371" s="8"/>
      <c r="EG1371" s="8"/>
      <c r="EH1371" s="8"/>
      <c r="EI1371" s="8"/>
      <c r="EJ1371" s="8"/>
      <c r="EK1371" s="8"/>
      <c r="EL1371" s="8"/>
      <c r="EM1371" s="8"/>
      <c r="EN1371" s="8"/>
      <c r="EO1371" s="8"/>
      <c r="EP1371" s="8"/>
      <c r="EQ1371" s="8"/>
      <c r="ER1371" s="8"/>
      <c r="ES1371" s="8"/>
      <c r="ET1371" s="8"/>
      <c r="EU1371" s="8"/>
      <c r="EV1371" s="8"/>
      <c r="EW1371" s="8"/>
      <c r="EX1371" s="8"/>
      <c r="EY1371" s="8"/>
      <c r="EZ1371" s="8"/>
      <c r="FA1371" s="8"/>
      <c r="FB1371" s="8"/>
      <c r="FC1371" s="8"/>
      <c r="FD1371" s="8"/>
      <c r="FE1371" s="8"/>
      <c r="FF1371" s="8"/>
      <c r="FG1371" s="8"/>
      <c r="FH1371" s="8"/>
      <c r="FI1371" s="8"/>
      <c r="FJ1371" s="8"/>
      <c r="FK1371" s="8"/>
      <c r="FL1371" s="8"/>
      <c r="FM1371" s="8"/>
      <c r="FN1371" s="8"/>
      <c r="FO1371" s="8"/>
      <c r="FP1371" s="8"/>
      <c r="FQ1371" s="8"/>
      <c r="FR1371" s="8"/>
      <c r="FS1371" s="8"/>
      <c r="FT1371" s="8"/>
      <c r="FU1371" s="8"/>
      <c r="FV1371" s="8"/>
      <c r="FW1371" s="8"/>
      <c r="FX1371" s="8"/>
      <c r="FY1371" s="8"/>
      <c r="FZ1371" s="8"/>
      <c r="GA1371" s="8"/>
      <c r="GB1371" s="8"/>
      <c r="GC1371" s="8"/>
      <c r="GD1371" s="8"/>
      <c r="GE1371" s="8"/>
      <c r="GF1371" s="8"/>
      <c r="GG1371" s="8"/>
      <c r="GH1371" s="8"/>
      <c r="GI1371" s="8"/>
      <c r="GJ1371" s="8"/>
      <c r="GK1371" s="8"/>
      <c r="GL1371" s="8"/>
      <c r="GM1371" s="8"/>
      <c r="GN1371" s="8"/>
      <c r="GO1371" s="8"/>
      <c r="GP1371" s="8"/>
      <c r="GQ1371" s="8"/>
      <c r="GR1371" s="8"/>
      <c r="GS1371" s="8"/>
      <c r="GT1371" s="8"/>
      <c r="GU1371" s="8"/>
      <c r="GV1371" s="8"/>
      <c r="GW1371" s="8"/>
      <c r="GX1371" s="8"/>
      <c r="GY1371" s="8"/>
      <c r="GZ1371" s="8"/>
      <c r="HA1371" s="8"/>
      <c r="HB1371" s="8"/>
      <c r="HC1371" s="8"/>
      <c r="HD1371" s="8"/>
      <c r="HE1371" s="8"/>
      <c r="HF1371" s="8"/>
      <c r="HG1371" s="8"/>
      <c r="HH1371" s="8"/>
      <c r="HI1371" s="8"/>
      <c r="HJ1371" s="8"/>
      <c r="HK1371" s="8"/>
      <c r="HL1371" s="8"/>
      <c r="HM1371" s="8"/>
      <c r="HN1371" s="8"/>
      <c r="HO1371" s="8"/>
      <c r="HP1371" s="8"/>
      <c r="HQ1371" s="8"/>
      <c r="HR1371" s="8"/>
      <c r="HS1371" s="8"/>
      <c r="HT1371" s="8"/>
      <c r="HU1371" s="8"/>
      <c r="HV1371" s="8"/>
      <c r="HW1371" s="8"/>
      <c r="HX1371" s="8"/>
      <c r="HY1371" s="8"/>
      <c r="HZ1371" s="8"/>
      <c r="IA1371" s="8"/>
      <c r="IB1371" s="8"/>
      <c r="IC1371" s="8"/>
      <c r="ID1371" s="8"/>
      <c r="IE1371" s="8"/>
      <c r="IF1371" s="8"/>
    </row>
    <row r="1372" spans="1:240">
      <c r="A1372" s="14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8"/>
      <c r="AP1372" s="8"/>
      <c r="AQ1372" s="8"/>
      <c r="AR1372" s="8"/>
      <c r="AS1372" s="8"/>
      <c r="AT1372" s="8"/>
      <c r="AU1372" s="8"/>
      <c r="AV1372" s="8"/>
      <c r="AW1372" s="8"/>
      <c r="AX1372" s="8"/>
      <c r="AY1372" s="8"/>
      <c r="AZ1372" s="8"/>
      <c r="BA1372" s="8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8"/>
      <c r="BS1372" s="8"/>
      <c r="BT1372" s="8"/>
      <c r="BU1372" s="8"/>
      <c r="BV1372" s="8"/>
      <c r="BW1372" s="8"/>
      <c r="BX1372" s="8"/>
      <c r="BY1372" s="8"/>
      <c r="BZ1372" s="8"/>
      <c r="CA1372" s="8"/>
      <c r="CB1372" s="8"/>
      <c r="CC1372" s="8"/>
      <c r="CD1372" s="8"/>
      <c r="CE1372" s="8"/>
      <c r="CF1372" s="8"/>
      <c r="CG1372" s="8"/>
      <c r="CH1372" s="8"/>
      <c r="CI1372" s="8"/>
      <c r="CJ1372" s="8"/>
      <c r="CK1372" s="8"/>
      <c r="CL1372" s="8"/>
      <c r="CM1372" s="8"/>
      <c r="CN1372" s="8"/>
      <c r="CO1372" s="8"/>
      <c r="CP1372" s="8"/>
      <c r="CQ1372" s="8"/>
      <c r="CR1372" s="8"/>
      <c r="CS1372" s="8"/>
      <c r="CT1372" s="8"/>
      <c r="CU1372" s="8"/>
      <c r="CV1372" s="8"/>
      <c r="CW1372" s="8"/>
      <c r="CX1372" s="8"/>
      <c r="CY1372" s="8"/>
      <c r="CZ1372" s="8"/>
      <c r="DA1372" s="8"/>
      <c r="DB1372" s="8"/>
      <c r="DC1372" s="8"/>
      <c r="DD1372" s="8"/>
      <c r="DE1372" s="8"/>
      <c r="DF1372" s="8"/>
      <c r="DG1372" s="8"/>
      <c r="DH1372" s="8"/>
      <c r="DI1372" s="8"/>
      <c r="DJ1372" s="8"/>
      <c r="DK1372" s="8"/>
      <c r="DL1372" s="8"/>
      <c r="DM1372" s="8"/>
      <c r="DN1372" s="8"/>
      <c r="DO1372" s="8"/>
      <c r="DP1372" s="8"/>
      <c r="DQ1372" s="8"/>
      <c r="DR1372" s="8"/>
      <c r="DS1372" s="8"/>
      <c r="DT1372" s="8"/>
      <c r="DU1372" s="8"/>
      <c r="DV1372" s="8"/>
      <c r="DW1372" s="8"/>
      <c r="DX1372" s="8"/>
      <c r="DY1372" s="8"/>
      <c r="DZ1372" s="8"/>
      <c r="EA1372" s="8"/>
      <c r="EB1372" s="8"/>
      <c r="EC1372" s="8"/>
      <c r="ED1372" s="8"/>
      <c r="EE1372" s="8"/>
      <c r="EF1372" s="8"/>
      <c r="EG1372" s="8"/>
      <c r="EH1372" s="8"/>
      <c r="EI1372" s="8"/>
      <c r="EJ1372" s="8"/>
      <c r="EK1372" s="8"/>
      <c r="EL1372" s="8"/>
      <c r="EM1372" s="8"/>
      <c r="EN1372" s="8"/>
      <c r="EO1372" s="8"/>
      <c r="EP1372" s="8"/>
      <c r="EQ1372" s="8"/>
      <c r="ER1372" s="8"/>
      <c r="ES1372" s="8"/>
      <c r="ET1372" s="8"/>
      <c r="EU1372" s="8"/>
      <c r="EV1372" s="8"/>
      <c r="EW1372" s="8"/>
      <c r="EX1372" s="8"/>
      <c r="EY1372" s="8"/>
      <c r="EZ1372" s="8"/>
      <c r="FA1372" s="8"/>
      <c r="FB1372" s="8"/>
      <c r="FC1372" s="8"/>
      <c r="FD1372" s="8"/>
      <c r="FE1372" s="8"/>
      <c r="FF1372" s="8"/>
      <c r="FG1372" s="8"/>
      <c r="FH1372" s="8"/>
      <c r="FI1372" s="8"/>
      <c r="FJ1372" s="8"/>
      <c r="FK1372" s="8"/>
      <c r="FL1372" s="8"/>
      <c r="FM1372" s="8"/>
      <c r="FN1372" s="8"/>
      <c r="FO1372" s="8"/>
      <c r="FP1372" s="8"/>
      <c r="FQ1372" s="8"/>
      <c r="FR1372" s="8"/>
      <c r="FS1372" s="8"/>
      <c r="FT1372" s="8"/>
      <c r="FU1372" s="8"/>
      <c r="FV1372" s="8"/>
      <c r="FW1372" s="8"/>
      <c r="FX1372" s="8"/>
      <c r="FY1372" s="8"/>
      <c r="FZ1372" s="8"/>
      <c r="GA1372" s="8"/>
      <c r="GB1372" s="8"/>
      <c r="GC1372" s="8"/>
      <c r="GD1372" s="8"/>
      <c r="GE1372" s="8"/>
      <c r="GF1372" s="8"/>
      <c r="GG1372" s="8"/>
      <c r="GH1372" s="8"/>
      <c r="GI1372" s="8"/>
      <c r="GJ1372" s="8"/>
      <c r="GK1372" s="8"/>
      <c r="GL1372" s="8"/>
      <c r="GM1372" s="8"/>
      <c r="GN1372" s="8"/>
      <c r="GO1372" s="8"/>
      <c r="GP1372" s="8"/>
      <c r="GQ1372" s="8"/>
      <c r="GR1372" s="8"/>
      <c r="GS1372" s="8"/>
      <c r="GT1372" s="8"/>
      <c r="GU1372" s="8"/>
      <c r="GV1372" s="8"/>
      <c r="GW1372" s="8"/>
      <c r="GX1372" s="8"/>
      <c r="GY1372" s="8"/>
      <c r="GZ1372" s="8"/>
      <c r="HA1372" s="8"/>
      <c r="HB1372" s="8"/>
      <c r="HC1372" s="8"/>
      <c r="HD1372" s="8"/>
      <c r="HE1372" s="8"/>
      <c r="HF1372" s="8"/>
      <c r="HG1372" s="8"/>
      <c r="HH1372" s="8"/>
      <c r="HI1372" s="8"/>
      <c r="HJ1372" s="8"/>
      <c r="HK1372" s="8"/>
      <c r="HL1372" s="8"/>
      <c r="HM1372" s="8"/>
      <c r="HN1372" s="8"/>
      <c r="HO1372" s="8"/>
      <c r="HP1372" s="8"/>
      <c r="HQ1372" s="8"/>
      <c r="HR1372" s="8"/>
      <c r="HS1372" s="8"/>
      <c r="HT1372" s="8"/>
      <c r="HU1372" s="8"/>
      <c r="HV1372" s="8"/>
      <c r="HW1372" s="8"/>
      <c r="HX1372" s="8"/>
      <c r="HY1372" s="8"/>
      <c r="HZ1372" s="8"/>
      <c r="IA1372" s="8"/>
      <c r="IB1372" s="8"/>
      <c r="IC1372" s="8"/>
      <c r="ID1372" s="8"/>
      <c r="IE1372" s="8"/>
      <c r="IF1372" s="8"/>
    </row>
    <row r="1373" spans="1:240">
      <c r="A1373" s="14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8"/>
      <c r="AP1373" s="8"/>
      <c r="AQ1373" s="8"/>
      <c r="AR1373" s="8"/>
      <c r="AS1373" s="8"/>
      <c r="AT1373" s="8"/>
      <c r="AU1373" s="8"/>
      <c r="AV1373" s="8"/>
      <c r="AW1373" s="8"/>
      <c r="AX1373" s="8"/>
      <c r="AY1373" s="8"/>
      <c r="AZ1373" s="8"/>
      <c r="BA1373" s="8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8"/>
      <c r="BS1373" s="8"/>
      <c r="BT1373" s="8"/>
      <c r="BU1373" s="8"/>
      <c r="BV1373" s="8"/>
      <c r="BW1373" s="8"/>
      <c r="BX1373" s="8"/>
      <c r="BY1373" s="8"/>
      <c r="BZ1373" s="8"/>
      <c r="CA1373" s="8"/>
      <c r="CB1373" s="8"/>
      <c r="CC1373" s="8"/>
      <c r="CD1373" s="8"/>
      <c r="CE1373" s="8"/>
      <c r="CF1373" s="8"/>
      <c r="CG1373" s="8"/>
      <c r="CH1373" s="8"/>
      <c r="CI1373" s="8"/>
      <c r="CJ1373" s="8"/>
      <c r="CK1373" s="8"/>
      <c r="CL1373" s="8"/>
      <c r="CM1373" s="8"/>
      <c r="CN1373" s="8"/>
      <c r="CO1373" s="8"/>
      <c r="CP1373" s="8"/>
      <c r="CQ1373" s="8"/>
      <c r="CR1373" s="8"/>
      <c r="CS1373" s="8"/>
      <c r="CT1373" s="8"/>
      <c r="CU1373" s="8"/>
      <c r="CV1373" s="8"/>
      <c r="CW1373" s="8"/>
      <c r="CX1373" s="8"/>
      <c r="CY1373" s="8"/>
      <c r="CZ1373" s="8"/>
      <c r="DA1373" s="8"/>
      <c r="DB1373" s="8"/>
      <c r="DC1373" s="8"/>
      <c r="DD1373" s="8"/>
      <c r="DE1373" s="8"/>
      <c r="DF1373" s="8"/>
      <c r="DG1373" s="8"/>
      <c r="DH1373" s="8"/>
      <c r="DI1373" s="8"/>
      <c r="DJ1373" s="8"/>
      <c r="DK1373" s="8"/>
      <c r="DL1373" s="8"/>
      <c r="DM1373" s="8"/>
      <c r="DN1373" s="8"/>
      <c r="DO1373" s="8"/>
      <c r="DP1373" s="8"/>
      <c r="DQ1373" s="8"/>
      <c r="DR1373" s="8"/>
      <c r="DS1373" s="8"/>
      <c r="DT1373" s="8"/>
      <c r="DU1373" s="8"/>
      <c r="DV1373" s="8"/>
      <c r="DW1373" s="8"/>
      <c r="DX1373" s="8"/>
      <c r="DY1373" s="8"/>
      <c r="DZ1373" s="8"/>
      <c r="EA1373" s="8"/>
      <c r="EB1373" s="8"/>
      <c r="EC1373" s="8"/>
      <c r="ED1373" s="8"/>
      <c r="EE1373" s="8"/>
      <c r="EF1373" s="8"/>
      <c r="EG1373" s="8"/>
      <c r="EH1373" s="8"/>
      <c r="EI1373" s="8"/>
      <c r="EJ1373" s="8"/>
      <c r="EK1373" s="8"/>
      <c r="EL1373" s="8"/>
      <c r="EM1373" s="8"/>
      <c r="EN1373" s="8"/>
      <c r="EO1373" s="8"/>
      <c r="EP1373" s="8"/>
      <c r="EQ1373" s="8"/>
      <c r="ER1373" s="8"/>
      <c r="ES1373" s="8"/>
      <c r="ET1373" s="8"/>
      <c r="EU1373" s="8"/>
      <c r="EV1373" s="8"/>
      <c r="EW1373" s="8"/>
      <c r="EX1373" s="8"/>
      <c r="EY1373" s="8"/>
      <c r="EZ1373" s="8"/>
      <c r="FA1373" s="8"/>
      <c r="FB1373" s="8"/>
      <c r="FC1373" s="8"/>
      <c r="FD1373" s="8"/>
      <c r="FE1373" s="8"/>
      <c r="FF1373" s="8"/>
      <c r="FG1373" s="8"/>
      <c r="FH1373" s="8"/>
      <c r="FI1373" s="8"/>
      <c r="FJ1373" s="8"/>
      <c r="FK1373" s="8"/>
      <c r="FL1373" s="8"/>
      <c r="FM1373" s="8"/>
      <c r="FN1373" s="8"/>
      <c r="FO1373" s="8"/>
      <c r="FP1373" s="8"/>
      <c r="FQ1373" s="8"/>
      <c r="FR1373" s="8"/>
      <c r="FS1373" s="8"/>
      <c r="FT1373" s="8"/>
      <c r="FU1373" s="8"/>
      <c r="FV1373" s="8"/>
      <c r="FW1373" s="8"/>
      <c r="FX1373" s="8"/>
      <c r="FY1373" s="8"/>
      <c r="FZ1373" s="8"/>
      <c r="GA1373" s="8"/>
      <c r="GB1373" s="8"/>
      <c r="GC1373" s="8"/>
      <c r="GD1373" s="8"/>
      <c r="GE1373" s="8"/>
      <c r="GF1373" s="8"/>
      <c r="GG1373" s="8"/>
      <c r="GH1373" s="8"/>
      <c r="GI1373" s="8"/>
      <c r="GJ1373" s="8"/>
      <c r="GK1373" s="8"/>
      <c r="GL1373" s="8"/>
      <c r="GM1373" s="8"/>
      <c r="GN1373" s="8"/>
      <c r="GO1373" s="8"/>
      <c r="GP1373" s="8"/>
      <c r="GQ1373" s="8"/>
      <c r="GR1373" s="8"/>
      <c r="GS1373" s="8"/>
      <c r="GT1373" s="8"/>
      <c r="GU1373" s="8"/>
      <c r="GV1373" s="8"/>
      <c r="GW1373" s="8"/>
      <c r="GX1373" s="8"/>
      <c r="GY1373" s="8"/>
      <c r="GZ1373" s="8"/>
      <c r="HA1373" s="8"/>
      <c r="HB1373" s="8"/>
      <c r="HC1373" s="8"/>
      <c r="HD1373" s="8"/>
      <c r="HE1373" s="8"/>
      <c r="HF1373" s="8"/>
      <c r="HG1373" s="8"/>
      <c r="HH1373" s="8"/>
      <c r="HI1373" s="8"/>
      <c r="HJ1373" s="8"/>
      <c r="HK1373" s="8"/>
      <c r="HL1373" s="8"/>
      <c r="HM1373" s="8"/>
      <c r="HN1373" s="8"/>
      <c r="HO1373" s="8"/>
      <c r="HP1373" s="8"/>
      <c r="HQ1373" s="8"/>
      <c r="HR1373" s="8"/>
      <c r="HS1373" s="8"/>
      <c r="HT1373" s="8"/>
      <c r="HU1373" s="8"/>
      <c r="HV1373" s="8"/>
      <c r="HW1373" s="8"/>
      <c r="HX1373" s="8"/>
      <c r="HY1373" s="8"/>
      <c r="HZ1373" s="8"/>
      <c r="IA1373" s="8"/>
      <c r="IB1373" s="8"/>
      <c r="IC1373" s="8"/>
      <c r="ID1373" s="8"/>
      <c r="IE1373" s="8"/>
      <c r="IF1373" s="8"/>
    </row>
    <row r="1374" spans="1:240">
      <c r="A1374" s="14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8"/>
      <c r="AP1374" s="8"/>
      <c r="AQ1374" s="8"/>
      <c r="AR1374" s="8"/>
      <c r="AS1374" s="8"/>
      <c r="AT1374" s="8"/>
      <c r="AU1374" s="8"/>
      <c r="AV1374" s="8"/>
      <c r="AW1374" s="8"/>
      <c r="AX1374" s="8"/>
      <c r="AY1374" s="8"/>
      <c r="AZ1374" s="8"/>
      <c r="BA1374" s="8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8"/>
      <c r="BS1374" s="8"/>
      <c r="BT1374" s="8"/>
      <c r="BU1374" s="8"/>
      <c r="BV1374" s="8"/>
      <c r="BW1374" s="8"/>
      <c r="BX1374" s="8"/>
      <c r="BY1374" s="8"/>
      <c r="BZ1374" s="8"/>
      <c r="CA1374" s="8"/>
      <c r="CB1374" s="8"/>
      <c r="CC1374" s="8"/>
      <c r="CD1374" s="8"/>
      <c r="CE1374" s="8"/>
      <c r="CF1374" s="8"/>
      <c r="CG1374" s="8"/>
      <c r="CH1374" s="8"/>
      <c r="CI1374" s="8"/>
      <c r="CJ1374" s="8"/>
      <c r="CK1374" s="8"/>
      <c r="CL1374" s="8"/>
      <c r="CM1374" s="8"/>
      <c r="CN1374" s="8"/>
      <c r="CO1374" s="8"/>
      <c r="CP1374" s="8"/>
      <c r="CQ1374" s="8"/>
      <c r="CR1374" s="8"/>
      <c r="CS1374" s="8"/>
      <c r="CT1374" s="8"/>
      <c r="CU1374" s="8"/>
      <c r="CV1374" s="8"/>
      <c r="CW1374" s="8"/>
      <c r="CX1374" s="8"/>
      <c r="CY1374" s="8"/>
      <c r="CZ1374" s="8"/>
      <c r="DA1374" s="8"/>
      <c r="DB1374" s="8"/>
      <c r="DC1374" s="8"/>
      <c r="DD1374" s="8"/>
      <c r="DE1374" s="8"/>
      <c r="DF1374" s="8"/>
      <c r="DG1374" s="8"/>
      <c r="DH1374" s="8"/>
      <c r="DI1374" s="8"/>
      <c r="DJ1374" s="8"/>
      <c r="DK1374" s="8"/>
      <c r="DL1374" s="8"/>
      <c r="DM1374" s="8"/>
      <c r="DN1374" s="8"/>
      <c r="DO1374" s="8"/>
      <c r="DP1374" s="8"/>
      <c r="DQ1374" s="8"/>
      <c r="DR1374" s="8"/>
      <c r="DS1374" s="8"/>
      <c r="DT1374" s="8"/>
      <c r="DU1374" s="8"/>
      <c r="DV1374" s="8"/>
      <c r="DW1374" s="8"/>
      <c r="DX1374" s="8"/>
      <c r="DY1374" s="8"/>
      <c r="DZ1374" s="8"/>
      <c r="EA1374" s="8"/>
      <c r="EB1374" s="8"/>
      <c r="EC1374" s="8"/>
      <c r="ED1374" s="8"/>
      <c r="EE1374" s="8"/>
      <c r="EF1374" s="8"/>
      <c r="EG1374" s="8"/>
      <c r="EH1374" s="8"/>
      <c r="EI1374" s="8"/>
      <c r="EJ1374" s="8"/>
      <c r="EK1374" s="8"/>
      <c r="EL1374" s="8"/>
      <c r="EM1374" s="8"/>
      <c r="EN1374" s="8"/>
      <c r="EO1374" s="8"/>
      <c r="EP1374" s="8"/>
      <c r="EQ1374" s="8"/>
      <c r="ER1374" s="8"/>
      <c r="ES1374" s="8"/>
      <c r="ET1374" s="8"/>
      <c r="EU1374" s="8"/>
      <c r="EV1374" s="8"/>
      <c r="EW1374" s="8"/>
      <c r="EX1374" s="8"/>
      <c r="EY1374" s="8"/>
      <c r="EZ1374" s="8"/>
      <c r="FA1374" s="8"/>
      <c r="FB1374" s="8"/>
      <c r="FC1374" s="8"/>
      <c r="FD1374" s="8"/>
      <c r="FE1374" s="8"/>
      <c r="FF1374" s="8"/>
      <c r="FG1374" s="8"/>
      <c r="FH1374" s="8"/>
      <c r="FI1374" s="8"/>
      <c r="FJ1374" s="8"/>
      <c r="FK1374" s="8"/>
      <c r="FL1374" s="8"/>
      <c r="FM1374" s="8"/>
      <c r="FN1374" s="8"/>
      <c r="FO1374" s="8"/>
      <c r="FP1374" s="8"/>
      <c r="FQ1374" s="8"/>
      <c r="FR1374" s="8"/>
      <c r="FS1374" s="8"/>
      <c r="FT1374" s="8"/>
      <c r="FU1374" s="8"/>
      <c r="FV1374" s="8"/>
      <c r="FW1374" s="8"/>
      <c r="FX1374" s="8"/>
      <c r="FY1374" s="8"/>
      <c r="FZ1374" s="8"/>
      <c r="GA1374" s="8"/>
      <c r="GB1374" s="8"/>
      <c r="GC1374" s="8"/>
      <c r="GD1374" s="8"/>
      <c r="GE1374" s="8"/>
      <c r="GF1374" s="8"/>
      <c r="GG1374" s="8"/>
      <c r="GH1374" s="8"/>
      <c r="GI1374" s="8"/>
      <c r="GJ1374" s="8"/>
      <c r="GK1374" s="8"/>
      <c r="GL1374" s="8"/>
      <c r="GM1374" s="8"/>
      <c r="GN1374" s="8"/>
      <c r="GO1374" s="8"/>
      <c r="GP1374" s="8"/>
      <c r="GQ1374" s="8"/>
      <c r="GR1374" s="8"/>
      <c r="GS1374" s="8"/>
      <c r="GT1374" s="8"/>
      <c r="GU1374" s="8"/>
      <c r="GV1374" s="8"/>
      <c r="GW1374" s="8"/>
      <c r="GX1374" s="8"/>
      <c r="GY1374" s="8"/>
      <c r="GZ1374" s="8"/>
      <c r="HA1374" s="8"/>
      <c r="HB1374" s="8"/>
      <c r="HC1374" s="8"/>
      <c r="HD1374" s="8"/>
      <c r="HE1374" s="8"/>
      <c r="HF1374" s="8"/>
      <c r="HG1374" s="8"/>
      <c r="HH1374" s="8"/>
      <c r="HI1374" s="8"/>
      <c r="HJ1374" s="8"/>
      <c r="HK1374" s="8"/>
      <c r="HL1374" s="8"/>
      <c r="HM1374" s="8"/>
      <c r="HN1374" s="8"/>
      <c r="HO1374" s="8"/>
      <c r="HP1374" s="8"/>
      <c r="HQ1374" s="8"/>
      <c r="HR1374" s="8"/>
      <c r="HS1374" s="8"/>
      <c r="HT1374" s="8"/>
      <c r="HU1374" s="8"/>
      <c r="HV1374" s="8"/>
      <c r="HW1374" s="8"/>
      <c r="HX1374" s="8"/>
      <c r="HY1374" s="8"/>
      <c r="HZ1374" s="8"/>
      <c r="IA1374" s="8"/>
      <c r="IB1374" s="8"/>
      <c r="IC1374" s="8"/>
      <c r="ID1374" s="8"/>
      <c r="IE1374" s="8"/>
      <c r="IF1374" s="8"/>
    </row>
    <row r="1375" spans="1:240">
      <c r="A1375" s="14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8"/>
      <c r="AP1375" s="8"/>
      <c r="AQ1375" s="8"/>
      <c r="AR1375" s="8"/>
      <c r="AS1375" s="8"/>
      <c r="AT1375" s="8"/>
      <c r="AU1375" s="8"/>
      <c r="AV1375" s="8"/>
      <c r="AW1375" s="8"/>
      <c r="AX1375" s="8"/>
      <c r="AY1375" s="8"/>
      <c r="AZ1375" s="8"/>
      <c r="BA1375" s="8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8"/>
      <c r="BS1375" s="8"/>
      <c r="BT1375" s="8"/>
      <c r="BU1375" s="8"/>
      <c r="BV1375" s="8"/>
      <c r="BW1375" s="8"/>
      <c r="BX1375" s="8"/>
      <c r="BY1375" s="8"/>
      <c r="BZ1375" s="8"/>
      <c r="CA1375" s="8"/>
      <c r="CB1375" s="8"/>
      <c r="CC1375" s="8"/>
      <c r="CD1375" s="8"/>
      <c r="CE1375" s="8"/>
      <c r="CF1375" s="8"/>
      <c r="CG1375" s="8"/>
      <c r="CH1375" s="8"/>
      <c r="CI1375" s="8"/>
      <c r="CJ1375" s="8"/>
      <c r="CK1375" s="8"/>
      <c r="CL1375" s="8"/>
      <c r="CM1375" s="8"/>
      <c r="CN1375" s="8"/>
      <c r="CO1375" s="8"/>
      <c r="CP1375" s="8"/>
      <c r="CQ1375" s="8"/>
      <c r="CR1375" s="8"/>
      <c r="CS1375" s="8"/>
      <c r="CT1375" s="8"/>
      <c r="CU1375" s="8"/>
      <c r="CV1375" s="8"/>
      <c r="CW1375" s="8"/>
      <c r="CX1375" s="8"/>
      <c r="CY1375" s="8"/>
      <c r="CZ1375" s="8"/>
      <c r="DA1375" s="8"/>
      <c r="DB1375" s="8"/>
      <c r="DC1375" s="8"/>
      <c r="DD1375" s="8"/>
      <c r="DE1375" s="8"/>
      <c r="DF1375" s="8"/>
      <c r="DG1375" s="8"/>
      <c r="DH1375" s="8"/>
      <c r="DI1375" s="8"/>
      <c r="DJ1375" s="8"/>
      <c r="DK1375" s="8"/>
      <c r="DL1375" s="8"/>
      <c r="DM1375" s="8"/>
      <c r="DN1375" s="8"/>
      <c r="DO1375" s="8"/>
      <c r="DP1375" s="8"/>
      <c r="DQ1375" s="8"/>
      <c r="DR1375" s="8"/>
      <c r="DS1375" s="8"/>
      <c r="DT1375" s="8"/>
      <c r="DU1375" s="8"/>
      <c r="DV1375" s="8"/>
      <c r="DW1375" s="8"/>
      <c r="DX1375" s="8"/>
      <c r="DY1375" s="8"/>
      <c r="DZ1375" s="8"/>
      <c r="EA1375" s="8"/>
      <c r="EB1375" s="8"/>
      <c r="EC1375" s="8"/>
      <c r="ED1375" s="8"/>
      <c r="EE1375" s="8"/>
      <c r="EF1375" s="8"/>
      <c r="EG1375" s="8"/>
      <c r="EH1375" s="8"/>
      <c r="EI1375" s="8"/>
      <c r="EJ1375" s="8"/>
      <c r="EK1375" s="8"/>
      <c r="EL1375" s="8"/>
      <c r="EM1375" s="8"/>
      <c r="EN1375" s="8"/>
      <c r="EO1375" s="8"/>
      <c r="EP1375" s="8"/>
      <c r="EQ1375" s="8"/>
      <c r="ER1375" s="8"/>
      <c r="ES1375" s="8"/>
      <c r="ET1375" s="8"/>
      <c r="EU1375" s="8"/>
      <c r="EV1375" s="8"/>
      <c r="EW1375" s="8"/>
      <c r="EX1375" s="8"/>
      <c r="EY1375" s="8"/>
      <c r="EZ1375" s="8"/>
      <c r="FA1375" s="8"/>
      <c r="FB1375" s="8"/>
      <c r="FC1375" s="8"/>
      <c r="FD1375" s="8"/>
      <c r="FE1375" s="8"/>
      <c r="FF1375" s="8"/>
      <c r="FG1375" s="8"/>
      <c r="FH1375" s="8"/>
      <c r="FI1375" s="8"/>
      <c r="FJ1375" s="8"/>
      <c r="FK1375" s="8"/>
      <c r="FL1375" s="8"/>
      <c r="FM1375" s="8"/>
      <c r="FN1375" s="8"/>
      <c r="FO1375" s="8"/>
      <c r="FP1375" s="8"/>
      <c r="FQ1375" s="8"/>
      <c r="FR1375" s="8"/>
      <c r="FS1375" s="8"/>
      <c r="FT1375" s="8"/>
      <c r="FU1375" s="8"/>
      <c r="FV1375" s="8"/>
      <c r="FW1375" s="8"/>
      <c r="FX1375" s="8"/>
      <c r="FY1375" s="8"/>
      <c r="FZ1375" s="8"/>
      <c r="GA1375" s="8"/>
      <c r="GB1375" s="8"/>
      <c r="GC1375" s="8"/>
      <c r="GD1375" s="8"/>
      <c r="GE1375" s="8"/>
      <c r="GF1375" s="8"/>
      <c r="GG1375" s="8"/>
      <c r="GH1375" s="8"/>
      <c r="GI1375" s="8"/>
      <c r="GJ1375" s="8"/>
      <c r="GK1375" s="8"/>
      <c r="GL1375" s="8"/>
      <c r="GM1375" s="8"/>
      <c r="GN1375" s="8"/>
      <c r="GO1375" s="8"/>
      <c r="GP1375" s="8"/>
      <c r="GQ1375" s="8"/>
      <c r="GR1375" s="8"/>
      <c r="GS1375" s="8"/>
      <c r="GT1375" s="8"/>
      <c r="GU1375" s="8"/>
      <c r="GV1375" s="8"/>
      <c r="GW1375" s="8"/>
      <c r="GX1375" s="8"/>
      <c r="GY1375" s="8"/>
      <c r="GZ1375" s="8"/>
      <c r="HA1375" s="8"/>
      <c r="HB1375" s="8"/>
      <c r="HC1375" s="8"/>
      <c r="HD1375" s="8"/>
      <c r="HE1375" s="8"/>
      <c r="HF1375" s="8"/>
      <c r="HG1375" s="8"/>
      <c r="HH1375" s="8"/>
      <c r="HI1375" s="8"/>
      <c r="HJ1375" s="8"/>
      <c r="HK1375" s="8"/>
      <c r="HL1375" s="8"/>
      <c r="HM1375" s="8"/>
      <c r="HN1375" s="8"/>
      <c r="HO1375" s="8"/>
      <c r="HP1375" s="8"/>
      <c r="HQ1375" s="8"/>
      <c r="HR1375" s="8"/>
      <c r="HS1375" s="8"/>
      <c r="HT1375" s="8"/>
      <c r="HU1375" s="8"/>
      <c r="HV1375" s="8"/>
      <c r="HW1375" s="8"/>
      <c r="HX1375" s="8"/>
      <c r="HY1375" s="8"/>
      <c r="HZ1375" s="8"/>
      <c r="IA1375" s="8"/>
      <c r="IB1375" s="8"/>
      <c r="IC1375" s="8"/>
      <c r="ID1375" s="8"/>
      <c r="IE1375" s="8"/>
      <c r="IF1375" s="8"/>
    </row>
    <row r="1376" spans="1:240">
      <c r="A1376" s="14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8"/>
      <c r="AP1376" s="8"/>
      <c r="AQ1376" s="8"/>
      <c r="AR1376" s="8"/>
      <c r="AS1376" s="8"/>
      <c r="AT1376" s="8"/>
      <c r="AU1376" s="8"/>
      <c r="AV1376" s="8"/>
      <c r="AW1376" s="8"/>
      <c r="AX1376" s="8"/>
      <c r="AY1376" s="8"/>
      <c r="AZ1376" s="8"/>
      <c r="BA1376" s="8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8"/>
      <c r="BS1376" s="8"/>
      <c r="BT1376" s="8"/>
      <c r="BU1376" s="8"/>
      <c r="BV1376" s="8"/>
      <c r="BW1376" s="8"/>
      <c r="BX1376" s="8"/>
      <c r="BY1376" s="8"/>
      <c r="BZ1376" s="8"/>
      <c r="CA1376" s="8"/>
      <c r="CB1376" s="8"/>
      <c r="CC1376" s="8"/>
      <c r="CD1376" s="8"/>
      <c r="CE1376" s="8"/>
      <c r="CF1376" s="8"/>
      <c r="CG1376" s="8"/>
      <c r="CH1376" s="8"/>
      <c r="CI1376" s="8"/>
      <c r="CJ1376" s="8"/>
      <c r="CK1376" s="8"/>
      <c r="CL1376" s="8"/>
      <c r="CM1376" s="8"/>
      <c r="CN1376" s="8"/>
      <c r="CO1376" s="8"/>
      <c r="CP1376" s="8"/>
      <c r="CQ1376" s="8"/>
      <c r="CR1376" s="8"/>
      <c r="CS1376" s="8"/>
      <c r="CT1376" s="8"/>
      <c r="CU1376" s="8"/>
      <c r="CV1376" s="8"/>
      <c r="CW1376" s="8"/>
      <c r="CX1376" s="8"/>
      <c r="CY1376" s="8"/>
      <c r="CZ1376" s="8"/>
      <c r="DA1376" s="8"/>
      <c r="DB1376" s="8"/>
      <c r="DC1376" s="8"/>
      <c r="DD1376" s="8"/>
      <c r="DE1376" s="8"/>
      <c r="DF1376" s="8"/>
      <c r="DG1376" s="8"/>
      <c r="DH1376" s="8"/>
      <c r="DI1376" s="8"/>
      <c r="DJ1376" s="8"/>
      <c r="DK1376" s="8"/>
      <c r="DL1376" s="8"/>
      <c r="DM1376" s="8"/>
      <c r="DN1376" s="8"/>
      <c r="DO1376" s="8"/>
      <c r="DP1376" s="8"/>
      <c r="DQ1376" s="8"/>
      <c r="DR1376" s="8"/>
      <c r="DS1376" s="8"/>
      <c r="DT1376" s="8"/>
      <c r="DU1376" s="8"/>
      <c r="DV1376" s="8"/>
      <c r="DW1376" s="8"/>
      <c r="DX1376" s="8"/>
      <c r="DY1376" s="8"/>
      <c r="DZ1376" s="8"/>
      <c r="EA1376" s="8"/>
      <c r="EB1376" s="8"/>
      <c r="EC1376" s="8"/>
      <c r="ED1376" s="8"/>
      <c r="EE1376" s="8"/>
      <c r="EF1376" s="8"/>
      <c r="EG1376" s="8"/>
      <c r="EH1376" s="8"/>
      <c r="EI1376" s="8"/>
      <c r="EJ1376" s="8"/>
      <c r="EK1376" s="8"/>
      <c r="EL1376" s="8"/>
      <c r="EM1376" s="8"/>
      <c r="EN1376" s="8"/>
      <c r="EO1376" s="8"/>
      <c r="EP1376" s="8"/>
      <c r="EQ1376" s="8"/>
      <c r="ER1376" s="8"/>
      <c r="ES1376" s="8"/>
      <c r="ET1376" s="8"/>
      <c r="EU1376" s="8"/>
      <c r="EV1376" s="8"/>
      <c r="EW1376" s="8"/>
      <c r="EX1376" s="8"/>
      <c r="EY1376" s="8"/>
      <c r="EZ1376" s="8"/>
      <c r="FA1376" s="8"/>
      <c r="FB1376" s="8"/>
      <c r="FC1376" s="8"/>
      <c r="FD1376" s="8"/>
      <c r="FE1376" s="8"/>
      <c r="FF1376" s="8"/>
      <c r="FG1376" s="8"/>
      <c r="FH1376" s="8"/>
      <c r="FI1376" s="8"/>
      <c r="FJ1376" s="8"/>
      <c r="FK1376" s="8"/>
      <c r="FL1376" s="8"/>
      <c r="FM1376" s="8"/>
      <c r="FN1376" s="8"/>
      <c r="FO1376" s="8"/>
      <c r="FP1376" s="8"/>
      <c r="FQ1376" s="8"/>
      <c r="FR1376" s="8"/>
      <c r="FS1376" s="8"/>
      <c r="FT1376" s="8"/>
      <c r="FU1376" s="8"/>
      <c r="FV1376" s="8"/>
      <c r="FW1376" s="8"/>
      <c r="FX1376" s="8"/>
      <c r="FY1376" s="8"/>
      <c r="FZ1376" s="8"/>
      <c r="GA1376" s="8"/>
      <c r="GB1376" s="8"/>
      <c r="GC1376" s="8"/>
      <c r="GD1376" s="8"/>
      <c r="GE1376" s="8"/>
      <c r="GF1376" s="8"/>
      <c r="GG1376" s="8"/>
      <c r="GH1376" s="8"/>
      <c r="GI1376" s="8"/>
      <c r="GJ1376" s="8"/>
      <c r="GK1376" s="8"/>
      <c r="GL1376" s="8"/>
      <c r="GM1376" s="8"/>
      <c r="GN1376" s="8"/>
      <c r="GO1376" s="8"/>
      <c r="GP1376" s="8"/>
      <c r="GQ1376" s="8"/>
      <c r="GR1376" s="8"/>
      <c r="GS1376" s="8"/>
      <c r="GT1376" s="8"/>
      <c r="GU1376" s="8"/>
      <c r="GV1376" s="8"/>
      <c r="GW1376" s="8"/>
      <c r="GX1376" s="8"/>
      <c r="GY1376" s="8"/>
      <c r="GZ1376" s="8"/>
      <c r="HA1376" s="8"/>
      <c r="HB1376" s="8"/>
      <c r="HC1376" s="8"/>
      <c r="HD1376" s="8"/>
      <c r="HE1376" s="8"/>
      <c r="HF1376" s="8"/>
      <c r="HG1376" s="8"/>
      <c r="HH1376" s="8"/>
      <c r="HI1376" s="8"/>
      <c r="HJ1376" s="8"/>
      <c r="HK1376" s="8"/>
      <c r="HL1376" s="8"/>
      <c r="HM1376" s="8"/>
      <c r="HN1376" s="8"/>
      <c r="HO1376" s="8"/>
      <c r="HP1376" s="8"/>
      <c r="HQ1376" s="8"/>
      <c r="HR1376" s="8"/>
      <c r="HS1376" s="8"/>
      <c r="HT1376" s="8"/>
      <c r="HU1376" s="8"/>
      <c r="HV1376" s="8"/>
      <c r="HW1376" s="8"/>
      <c r="HX1376" s="8"/>
      <c r="HY1376" s="8"/>
      <c r="HZ1376" s="8"/>
      <c r="IA1376" s="8"/>
      <c r="IB1376" s="8"/>
      <c r="IC1376" s="8"/>
      <c r="ID1376" s="8"/>
      <c r="IE1376" s="8"/>
      <c r="IF1376" s="8"/>
    </row>
    <row r="1377" spans="1:240">
      <c r="A1377" s="14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8"/>
      <c r="AP1377" s="8"/>
      <c r="AQ1377" s="8"/>
      <c r="AR1377" s="8"/>
      <c r="AS1377" s="8"/>
      <c r="AT1377" s="8"/>
      <c r="AU1377" s="8"/>
      <c r="AV1377" s="8"/>
      <c r="AW1377" s="8"/>
      <c r="AX1377" s="8"/>
      <c r="AY1377" s="8"/>
      <c r="AZ1377" s="8"/>
      <c r="BA1377" s="8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8"/>
      <c r="BS1377" s="8"/>
      <c r="BT1377" s="8"/>
      <c r="BU1377" s="8"/>
      <c r="BV1377" s="8"/>
      <c r="BW1377" s="8"/>
      <c r="BX1377" s="8"/>
      <c r="BY1377" s="8"/>
      <c r="BZ1377" s="8"/>
      <c r="CA1377" s="8"/>
      <c r="CB1377" s="8"/>
      <c r="CC1377" s="8"/>
      <c r="CD1377" s="8"/>
      <c r="CE1377" s="8"/>
      <c r="CF1377" s="8"/>
      <c r="CG1377" s="8"/>
      <c r="CH1377" s="8"/>
      <c r="CI1377" s="8"/>
      <c r="CJ1377" s="8"/>
      <c r="CK1377" s="8"/>
      <c r="CL1377" s="8"/>
      <c r="CM1377" s="8"/>
      <c r="CN1377" s="8"/>
      <c r="CO1377" s="8"/>
      <c r="CP1377" s="8"/>
      <c r="CQ1377" s="8"/>
      <c r="CR1377" s="8"/>
      <c r="CS1377" s="8"/>
      <c r="CT1377" s="8"/>
      <c r="CU1377" s="8"/>
      <c r="CV1377" s="8"/>
      <c r="CW1377" s="8"/>
      <c r="CX1377" s="8"/>
      <c r="CY1377" s="8"/>
      <c r="CZ1377" s="8"/>
      <c r="DA1377" s="8"/>
      <c r="DB1377" s="8"/>
      <c r="DC1377" s="8"/>
      <c r="DD1377" s="8"/>
      <c r="DE1377" s="8"/>
      <c r="DF1377" s="8"/>
      <c r="DG1377" s="8"/>
      <c r="DH1377" s="8"/>
      <c r="DI1377" s="8"/>
      <c r="DJ1377" s="8"/>
      <c r="DK1377" s="8"/>
      <c r="DL1377" s="8"/>
      <c r="DM1377" s="8"/>
      <c r="DN1377" s="8"/>
      <c r="DO1377" s="8"/>
      <c r="DP1377" s="8"/>
      <c r="DQ1377" s="8"/>
      <c r="DR1377" s="8"/>
      <c r="DS1377" s="8"/>
      <c r="DT1377" s="8"/>
      <c r="DU1377" s="8"/>
      <c r="DV1377" s="8"/>
      <c r="DW1377" s="8"/>
      <c r="DX1377" s="8"/>
      <c r="DY1377" s="8"/>
      <c r="DZ1377" s="8"/>
      <c r="EA1377" s="8"/>
      <c r="EB1377" s="8"/>
      <c r="EC1377" s="8"/>
      <c r="ED1377" s="8"/>
      <c r="EE1377" s="8"/>
      <c r="EF1377" s="8"/>
      <c r="EG1377" s="8"/>
      <c r="EH1377" s="8"/>
      <c r="EI1377" s="8"/>
      <c r="EJ1377" s="8"/>
      <c r="EK1377" s="8"/>
      <c r="EL1377" s="8"/>
      <c r="EM1377" s="8"/>
      <c r="EN1377" s="8"/>
      <c r="EO1377" s="8"/>
      <c r="EP1377" s="8"/>
      <c r="EQ1377" s="8"/>
      <c r="ER1377" s="8"/>
      <c r="ES1377" s="8"/>
      <c r="ET1377" s="8"/>
      <c r="EU1377" s="8"/>
      <c r="EV1377" s="8"/>
      <c r="EW1377" s="8"/>
      <c r="EX1377" s="8"/>
      <c r="EY1377" s="8"/>
      <c r="EZ1377" s="8"/>
      <c r="FA1377" s="8"/>
      <c r="FB1377" s="8"/>
      <c r="FC1377" s="8"/>
      <c r="FD1377" s="8"/>
      <c r="FE1377" s="8"/>
      <c r="FF1377" s="8"/>
      <c r="FG1377" s="8"/>
      <c r="FH1377" s="8"/>
      <c r="FI1377" s="8"/>
      <c r="FJ1377" s="8"/>
      <c r="FK1377" s="8"/>
      <c r="FL1377" s="8"/>
      <c r="FM1377" s="8"/>
      <c r="FN1377" s="8"/>
      <c r="FO1377" s="8"/>
      <c r="FP1377" s="8"/>
      <c r="FQ1377" s="8"/>
      <c r="FR1377" s="8"/>
      <c r="FS1377" s="8"/>
      <c r="FT1377" s="8"/>
      <c r="FU1377" s="8"/>
      <c r="FV1377" s="8"/>
      <c r="FW1377" s="8"/>
      <c r="FX1377" s="8"/>
      <c r="FY1377" s="8"/>
      <c r="FZ1377" s="8"/>
      <c r="GA1377" s="8"/>
      <c r="GB1377" s="8"/>
      <c r="GC1377" s="8"/>
      <c r="GD1377" s="8"/>
      <c r="GE1377" s="8"/>
      <c r="GF1377" s="8"/>
      <c r="GG1377" s="8"/>
      <c r="GH1377" s="8"/>
      <c r="GI1377" s="8"/>
      <c r="GJ1377" s="8"/>
      <c r="GK1377" s="8"/>
      <c r="GL1377" s="8"/>
      <c r="GM1377" s="8"/>
      <c r="GN1377" s="8"/>
      <c r="GO1377" s="8"/>
      <c r="GP1377" s="8"/>
      <c r="GQ1377" s="8"/>
      <c r="GR1377" s="8"/>
      <c r="GS1377" s="8"/>
      <c r="GT1377" s="8"/>
      <c r="GU1377" s="8"/>
      <c r="GV1377" s="8"/>
      <c r="GW1377" s="8"/>
      <c r="GX1377" s="8"/>
      <c r="GY1377" s="8"/>
      <c r="GZ1377" s="8"/>
      <c r="HA1377" s="8"/>
      <c r="HB1377" s="8"/>
      <c r="HC1377" s="8"/>
      <c r="HD1377" s="8"/>
      <c r="HE1377" s="8"/>
      <c r="HF1377" s="8"/>
      <c r="HG1377" s="8"/>
      <c r="HH1377" s="8"/>
      <c r="HI1377" s="8"/>
      <c r="HJ1377" s="8"/>
      <c r="HK1377" s="8"/>
      <c r="HL1377" s="8"/>
      <c r="HM1377" s="8"/>
      <c r="HN1377" s="8"/>
      <c r="HO1377" s="8"/>
      <c r="HP1377" s="8"/>
      <c r="HQ1377" s="8"/>
      <c r="HR1377" s="8"/>
      <c r="HS1377" s="8"/>
      <c r="HT1377" s="8"/>
      <c r="HU1377" s="8"/>
      <c r="HV1377" s="8"/>
      <c r="HW1377" s="8"/>
      <c r="HX1377" s="8"/>
      <c r="HY1377" s="8"/>
      <c r="HZ1377" s="8"/>
      <c r="IA1377" s="8"/>
      <c r="IB1377" s="8"/>
      <c r="IC1377" s="8"/>
      <c r="ID1377" s="8"/>
      <c r="IE1377" s="8"/>
      <c r="IF1377" s="8"/>
    </row>
    <row r="1378" spans="1:240">
      <c r="A1378" s="14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8"/>
      <c r="AP1378" s="8"/>
      <c r="AQ1378" s="8"/>
      <c r="AR1378" s="8"/>
      <c r="AS1378" s="8"/>
      <c r="AT1378" s="8"/>
      <c r="AU1378" s="8"/>
      <c r="AV1378" s="8"/>
      <c r="AW1378" s="8"/>
      <c r="AX1378" s="8"/>
      <c r="AY1378" s="8"/>
      <c r="AZ1378" s="8"/>
      <c r="BA1378" s="8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8"/>
      <c r="BS1378" s="8"/>
      <c r="BT1378" s="8"/>
      <c r="BU1378" s="8"/>
      <c r="BV1378" s="8"/>
      <c r="BW1378" s="8"/>
      <c r="BX1378" s="8"/>
      <c r="BY1378" s="8"/>
      <c r="BZ1378" s="8"/>
      <c r="CA1378" s="8"/>
      <c r="CB1378" s="8"/>
      <c r="CC1378" s="8"/>
      <c r="CD1378" s="8"/>
      <c r="CE1378" s="8"/>
      <c r="CF1378" s="8"/>
      <c r="CG1378" s="8"/>
      <c r="CH1378" s="8"/>
      <c r="CI1378" s="8"/>
      <c r="CJ1378" s="8"/>
      <c r="CK1378" s="8"/>
      <c r="CL1378" s="8"/>
      <c r="CM1378" s="8"/>
      <c r="CN1378" s="8"/>
      <c r="CO1378" s="8"/>
      <c r="CP1378" s="8"/>
      <c r="CQ1378" s="8"/>
      <c r="CR1378" s="8"/>
      <c r="CS1378" s="8"/>
      <c r="CT1378" s="8"/>
      <c r="CU1378" s="8"/>
      <c r="CV1378" s="8"/>
      <c r="CW1378" s="8"/>
      <c r="CX1378" s="8"/>
      <c r="CY1378" s="8"/>
      <c r="CZ1378" s="8"/>
      <c r="DA1378" s="8"/>
      <c r="DB1378" s="8"/>
      <c r="DC1378" s="8"/>
      <c r="DD1378" s="8"/>
      <c r="DE1378" s="8"/>
      <c r="DF1378" s="8"/>
      <c r="DG1378" s="8"/>
      <c r="DH1378" s="8"/>
      <c r="DI1378" s="8"/>
      <c r="DJ1378" s="8"/>
      <c r="DK1378" s="8"/>
      <c r="DL1378" s="8"/>
      <c r="DM1378" s="8"/>
      <c r="DN1378" s="8"/>
      <c r="DO1378" s="8"/>
      <c r="DP1378" s="8"/>
      <c r="DQ1378" s="8"/>
      <c r="DR1378" s="8"/>
      <c r="DS1378" s="8"/>
      <c r="DT1378" s="8"/>
      <c r="DU1378" s="8"/>
      <c r="DV1378" s="8"/>
      <c r="DW1378" s="8"/>
      <c r="DX1378" s="8"/>
      <c r="DY1378" s="8"/>
      <c r="DZ1378" s="8"/>
      <c r="EA1378" s="8"/>
      <c r="EB1378" s="8"/>
      <c r="EC1378" s="8"/>
      <c r="ED1378" s="8"/>
      <c r="EE1378" s="8"/>
      <c r="EF1378" s="8"/>
      <c r="EG1378" s="8"/>
      <c r="EH1378" s="8"/>
      <c r="EI1378" s="8"/>
      <c r="EJ1378" s="8"/>
      <c r="EK1378" s="8"/>
      <c r="EL1378" s="8"/>
      <c r="EM1378" s="8"/>
      <c r="EN1378" s="8"/>
      <c r="EO1378" s="8"/>
      <c r="EP1378" s="8"/>
      <c r="EQ1378" s="8"/>
      <c r="ER1378" s="8"/>
      <c r="ES1378" s="8"/>
      <c r="ET1378" s="8"/>
      <c r="EU1378" s="8"/>
      <c r="EV1378" s="8"/>
      <c r="EW1378" s="8"/>
      <c r="EX1378" s="8"/>
      <c r="EY1378" s="8"/>
      <c r="EZ1378" s="8"/>
      <c r="FA1378" s="8"/>
      <c r="FB1378" s="8"/>
      <c r="FC1378" s="8"/>
      <c r="FD1378" s="8"/>
      <c r="FE1378" s="8"/>
      <c r="FF1378" s="8"/>
      <c r="FG1378" s="8"/>
      <c r="FH1378" s="8"/>
      <c r="FI1378" s="8"/>
      <c r="FJ1378" s="8"/>
      <c r="FK1378" s="8"/>
      <c r="FL1378" s="8"/>
      <c r="FM1378" s="8"/>
      <c r="FN1378" s="8"/>
      <c r="FO1378" s="8"/>
      <c r="FP1378" s="8"/>
      <c r="FQ1378" s="8"/>
      <c r="FR1378" s="8"/>
      <c r="FS1378" s="8"/>
      <c r="FT1378" s="8"/>
      <c r="FU1378" s="8"/>
      <c r="FV1378" s="8"/>
      <c r="FW1378" s="8"/>
      <c r="FX1378" s="8"/>
      <c r="FY1378" s="8"/>
      <c r="FZ1378" s="8"/>
      <c r="GA1378" s="8"/>
      <c r="GB1378" s="8"/>
      <c r="GC1378" s="8"/>
      <c r="GD1378" s="8"/>
      <c r="GE1378" s="8"/>
      <c r="GF1378" s="8"/>
      <c r="GG1378" s="8"/>
      <c r="GH1378" s="8"/>
      <c r="GI1378" s="8"/>
      <c r="GJ1378" s="8"/>
      <c r="GK1378" s="8"/>
      <c r="GL1378" s="8"/>
      <c r="GM1378" s="8"/>
      <c r="GN1378" s="8"/>
      <c r="GO1378" s="8"/>
      <c r="GP1378" s="8"/>
      <c r="GQ1378" s="8"/>
      <c r="GR1378" s="8"/>
      <c r="GS1378" s="8"/>
      <c r="GT1378" s="8"/>
      <c r="GU1378" s="8"/>
      <c r="GV1378" s="8"/>
      <c r="GW1378" s="8"/>
      <c r="GX1378" s="8"/>
      <c r="GY1378" s="8"/>
      <c r="GZ1378" s="8"/>
      <c r="HA1378" s="8"/>
      <c r="HB1378" s="8"/>
      <c r="HC1378" s="8"/>
      <c r="HD1378" s="8"/>
      <c r="HE1378" s="8"/>
      <c r="HF1378" s="8"/>
      <c r="HG1378" s="8"/>
      <c r="HH1378" s="8"/>
      <c r="HI1378" s="8"/>
      <c r="HJ1378" s="8"/>
      <c r="HK1378" s="8"/>
      <c r="HL1378" s="8"/>
      <c r="HM1378" s="8"/>
      <c r="HN1378" s="8"/>
      <c r="HO1378" s="8"/>
      <c r="HP1378" s="8"/>
      <c r="HQ1378" s="8"/>
      <c r="HR1378" s="8"/>
      <c r="HS1378" s="8"/>
      <c r="HT1378" s="8"/>
      <c r="HU1378" s="8"/>
      <c r="HV1378" s="8"/>
      <c r="HW1378" s="8"/>
      <c r="HX1378" s="8"/>
      <c r="HY1378" s="8"/>
      <c r="HZ1378" s="8"/>
      <c r="IA1378" s="8"/>
      <c r="IB1378" s="8"/>
      <c r="IC1378" s="8"/>
      <c r="ID1378" s="8"/>
      <c r="IE1378" s="8"/>
      <c r="IF1378" s="8"/>
    </row>
    <row r="1379" spans="1:240">
      <c r="A1379" s="14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8"/>
      <c r="AP1379" s="8"/>
      <c r="AQ1379" s="8"/>
      <c r="AR1379" s="8"/>
      <c r="AS1379" s="8"/>
      <c r="AT1379" s="8"/>
      <c r="AU1379" s="8"/>
      <c r="AV1379" s="8"/>
      <c r="AW1379" s="8"/>
      <c r="AX1379" s="8"/>
      <c r="AY1379" s="8"/>
      <c r="AZ1379" s="8"/>
      <c r="BA1379" s="8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8"/>
      <c r="BS1379" s="8"/>
      <c r="BT1379" s="8"/>
      <c r="BU1379" s="8"/>
      <c r="BV1379" s="8"/>
      <c r="BW1379" s="8"/>
      <c r="BX1379" s="8"/>
      <c r="BY1379" s="8"/>
      <c r="BZ1379" s="8"/>
      <c r="CA1379" s="8"/>
      <c r="CB1379" s="8"/>
      <c r="CC1379" s="8"/>
      <c r="CD1379" s="8"/>
      <c r="CE1379" s="8"/>
      <c r="CF1379" s="8"/>
      <c r="CG1379" s="8"/>
      <c r="CH1379" s="8"/>
      <c r="CI1379" s="8"/>
      <c r="CJ1379" s="8"/>
      <c r="CK1379" s="8"/>
      <c r="CL1379" s="8"/>
      <c r="CM1379" s="8"/>
      <c r="CN1379" s="8"/>
      <c r="CO1379" s="8"/>
      <c r="CP1379" s="8"/>
      <c r="CQ1379" s="8"/>
      <c r="CR1379" s="8"/>
      <c r="CS1379" s="8"/>
      <c r="CT1379" s="8"/>
      <c r="CU1379" s="8"/>
      <c r="CV1379" s="8"/>
      <c r="CW1379" s="8"/>
      <c r="CX1379" s="8"/>
      <c r="CY1379" s="8"/>
      <c r="CZ1379" s="8"/>
      <c r="DA1379" s="8"/>
      <c r="DB1379" s="8"/>
      <c r="DC1379" s="8"/>
      <c r="DD1379" s="8"/>
      <c r="DE1379" s="8"/>
      <c r="DF1379" s="8"/>
      <c r="DG1379" s="8"/>
      <c r="DH1379" s="8"/>
      <c r="DI1379" s="8"/>
      <c r="DJ1379" s="8"/>
      <c r="DK1379" s="8"/>
      <c r="DL1379" s="8"/>
      <c r="DM1379" s="8"/>
      <c r="DN1379" s="8"/>
      <c r="DO1379" s="8"/>
      <c r="DP1379" s="8"/>
      <c r="DQ1379" s="8"/>
      <c r="DR1379" s="8"/>
      <c r="DS1379" s="8"/>
      <c r="DT1379" s="8"/>
      <c r="DU1379" s="8"/>
      <c r="DV1379" s="8"/>
      <c r="DW1379" s="8"/>
      <c r="DX1379" s="8"/>
      <c r="DY1379" s="8"/>
      <c r="DZ1379" s="8"/>
      <c r="EA1379" s="8"/>
      <c r="EB1379" s="8"/>
      <c r="EC1379" s="8"/>
      <c r="ED1379" s="8"/>
      <c r="EE1379" s="8"/>
      <c r="EF1379" s="8"/>
      <c r="EG1379" s="8"/>
      <c r="EH1379" s="8"/>
      <c r="EI1379" s="8"/>
      <c r="EJ1379" s="8"/>
      <c r="EK1379" s="8"/>
      <c r="EL1379" s="8"/>
      <c r="EM1379" s="8"/>
      <c r="EN1379" s="8"/>
      <c r="EO1379" s="8"/>
      <c r="EP1379" s="8"/>
      <c r="EQ1379" s="8"/>
      <c r="ER1379" s="8"/>
      <c r="ES1379" s="8"/>
      <c r="ET1379" s="8"/>
      <c r="EU1379" s="8"/>
      <c r="EV1379" s="8"/>
      <c r="EW1379" s="8"/>
      <c r="EX1379" s="8"/>
      <c r="EY1379" s="8"/>
      <c r="EZ1379" s="8"/>
      <c r="FA1379" s="8"/>
      <c r="FB1379" s="8"/>
      <c r="FC1379" s="8"/>
      <c r="FD1379" s="8"/>
      <c r="FE1379" s="8"/>
      <c r="FF1379" s="8"/>
      <c r="FG1379" s="8"/>
      <c r="FH1379" s="8"/>
      <c r="FI1379" s="8"/>
      <c r="FJ1379" s="8"/>
      <c r="FK1379" s="8"/>
      <c r="FL1379" s="8"/>
      <c r="FM1379" s="8"/>
      <c r="FN1379" s="8"/>
      <c r="FO1379" s="8"/>
      <c r="FP1379" s="8"/>
      <c r="FQ1379" s="8"/>
      <c r="FR1379" s="8"/>
      <c r="FS1379" s="8"/>
      <c r="FT1379" s="8"/>
      <c r="FU1379" s="8"/>
      <c r="FV1379" s="8"/>
      <c r="FW1379" s="8"/>
      <c r="FX1379" s="8"/>
      <c r="FY1379" s="8"/>
      <c r="FZ1379" s="8"/>
      <c r="GA1379" s="8"/>
      <c r="GB1379" s="8"/>
      <c r="GC1379" s="8"/>
      <c r="GD1379" s="8"/>
      <c r="GE1379" s="8"/>
      <c r="GF1379" s="8"/>
      <c r="GG1379" s="8"/>
      <c r="GH1379" s="8"/>
      <c r="GI1379" s="8"/>
      <c r="GJ1379" s="8"/>
      <c r="GK1379" s="8"/>
      <c r="GL1379" s="8"/>
      <c r="GM1379" s="8"/>
      <c r="GN1379" s="8"/>
      <c r="GO1379" s="8"/>
      <c r="GP1379" s="8"/>
      <c r="GQ1379" s="8"/>
      <c r="GR1379" s="8"/>
      <c r="GS1379" s="8"/>
      <c r="GT1379" s="8"/>
      <c r="GU1379" s="8"/>
      <c r="GV1379" s="8"/>
      <c r="GW1379" s="8"/>
      <c r="GX1379" s="8"/>
      <c r="GY1379" s="8"/>
      <c r="GZ1379" s="8"/>
      <c r="HA1379" s="8"/>
      <c r="HB1379" s="8"/>
      <c r="HC1379" s="8"/>
      <c r="HD1379" s="8"/>
      <c r="HE1379" s="8"/>
      <c r="HF1379" s="8"/>
      <c r="HG1379" s="8"/>
      <c r="HH1379" s="8"/>
      <c r="HI1379" s="8"/>
      <c r="HJ1379" s="8"/>
      <c r="HK1379" s="8"/>
      <c r="HL1379" s="8"/>
      <c r="HM1379" s="8"/>
      <c r="HN1379" s="8"/>
      <c r="HO1379" s="8"/>
      <c r="HP1379" s="8"/>
      <c r="HQ1379" s="8"/>
      <c r="HR1379" s="8"/>
      <c r="HS1379" s="8"/>
      <c r="HT1379" s="8"/>
      <c r="HU1379" s="8"/>
      <c r="HV1379" s="8"/>
      <c r="HW1379" s="8"/>
      <c r="HX1379" s="8"/>
      <c r="HY1379" s="8"/>
      <c r="HZ1379" s="8"/>
      <c r="IA1379" s="8"/>
      <c r="IB1379" s="8"/>
      <c r="IC1379" s="8"/>
      <c r="ID1379" s="8"/>
      <c r="IE1379" s="8"/>
      <c r="IF1379" s="8"/>
    </row>
    <row r="1380" spans="1:240">
      <c r="A1380" s="14"/>
      <c r="B1380" s="23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8"/>
      <c r="AP1380" s="8"/>
      <c r="AQ1380" s="8"/>
      <c r="AR1380" s="8"/>
      <c r="AS1380" s="8"/>
      <c r="AT1380" s="8"/>
      <c r="AU1380" s="8"/>
      <c r="AV1380" s="8"/>
      <c r="AW1380" s="8"/>
      <c r="AX1380" s="8"/>
      <c r="AY1380" s="8"/>
      <c r="AZ1380" s="8"/>
      <c r="BA1380" s="8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8"/>
      <c r="BS1380" s="8"/>
      <c r="BT1380" s="8"/>
      <c r="BU1380" s="8"/>
      <c r="BV1380" s="8"/>
      <c r="BW1380" s="8"/>
      <c r="BX1380" s="8"/>
      <c r="BY1380" s="8"/>
      <c r="BZ1380" s="8"/>
      <c r="CA1380" s="8"/>
      <c r="CB1380" s="8"/>
      <c r="CC1380" s="8"/>
      <c r="CD1380" s="8"/>
      <c r="CE1380" s="8"/>
      <c r="CF1380" s="8"/>
      <c r="CG1380" s="8"/>
      <c r="CH1380" s="8"/>
      <c r="CI1380" s="8"/>
      <c r="CJ1380" s="8"/>
      <c r="CK1380" s="8"/>
      <c r="CL1380" s="8"/>
      <c r="CM1380" s="8"/>
      <c r="CN1380" s="8"/>
      <c r="CO1380" s="8"/>
      <c r="CP1380" s="8"/>
      <c r="CQ1380" s="8"/>
      <c r="CR1380" s="8"/>
      <c r="CS1380" s="8"/>
      <c r="CT1380" s="8"/>
      <c r="CU1380" s="8"/>
      <c r="CV1380" s="8"/>
      <c r="CW1380" s="8"/>
      <c r="CX1380" s="8"/>
      <c r="CY1380" s="8"/>
      <c r="CZ1380" s="8"/>
      <c r="DA1380" s="8"/>
      <c r="DB1380" s="8"/>
      <c r="DC1380" s="8"/>
      <c r="DD1380" s="8"/>
      <c r="DE1380" s="8"/>
      <c r="DF1380" s="8"/>
      <c r="DG1380" s="8"/>
      <c r="DH1380" s="8"/>
      <c r="DI1380" s="8"/>
      <c r="DJ1380" s="8"/>
      <c r="DK1380" s="8"/>
      <c r="DL1380" s="8"/>
      <c r="DM1380" s="8"/>
      <c r="DN1380" s="8"/>
      <c r="DO1380" s="8"/>
      <c r="DP1380" s="8"/>
      <c r="DQ1380" s="8"/>
      <c r="DR1380" s="8"/>
      <c r="DS1380" s="8"/>
      <c r="DT1380" s="8"/>
      <c r="DU1380" s="8"/>
      <c r="DV1380" s="8"/>
      <c r="DW1380" s="8"/>
      <c r="DX1380" s="8"/>
      <c r="DY1380" s="8"/>
      <c r="DZ1380" s="8"/>
      <c r="EA1380" s="8"/>
      <c r="EB1380" s="8"/>
      <c r="EC1380" s="8"/>
      <c r="ED1380" s="8"/>
      <c r="EE1380" s="8"/>
      <c r="EF1380" s="8"/>
      <c r="EG1380" s="8"/>
      <c r="EH1380" s="8"/>
      <c r="EI1380" s="8"/>
      <c r="EJ1380" s="8"/>
      <c r="EK1380" s="8"/>
      <c r="EL1380" s="8"/>
      <c r="EM1380" s="8"/>
      <c r="EN1380" s="8"/>
      <c r="EO1380" s="8"/>
      <c r="EP1380" s="8"/>
      <c r="EQ1380" s="8"/>
      <c r="ER1380" s="8"/>
      <c r="ES1380" s="8"/>
      <c r="ET1380" s="8"/>
      <c r="EU1380" s="8"/>
      <c r="EV1380" s="8"/>
      <c r="EW1380" s="8"/>
      <c r="EX1380" s="8"/>
      <c r="EY1380" s="8"/>
      <c r="EZ1380" s="8"/>
      <c r="FA1380" s="8"/>
      <c r="FB1380" s="8"/>
      <c r="FC1380" s="8"/>
      <c r="FD1380" s="8"/>
      <c r="FE1380" s="8"/>
      <c r="FF1380" s="8"/>
      <c r="FG1380" s="8"/>
      <c r="FH1380" s="8"/>
      <c r="FI1380" s="8"/>
      <c r="FJ1380" s="8"/>
      <c r="FK1380" s="8"/>
      <c r="FL1380" s="8"/>
      <c r="FM1380" s="8"/>
      <c r="FN1380" s="8"/>
      <c r="FO1380" s="8"/>
      <c r="FP1380" s="8"/>
      <c r="FQ1380" s="8"/>
      <c r="FR1380" s="8"/>
      <c r="FS1380" s="8"/>
      <c r="FT1380" s="8"/>
      <c r="FU1380" s="8"/>
      <c r="FV1380" s="8"/>
      <c r="FW1380" s="8"/>
      <c r="FX1380" s="8"/>
      <c r="FY1380" s="8"/>
      <c r="FZ1380" s="8"/>
      <c r="GA1380" s="8"/>
      <c r="GB1380" s="8"/>
      <c r="GC1380" s="8"/>
      <c r="GD1380" s="8"/>
      <c r="GE1380" s="8"/>
      <c r="GF1380" s="8"/>
      <c r="GG1380" s="8"/>
      <c r="GH1380" s="8"/>
      <c r="GI1380" s="8"/>
      <c r="GJ1380" s="8"/>
      <c r="GK1380" s="8"/>
      <c r="GL1380" s="8"/>
      <c r="GM1380" s="8"/>
      <c r="GN1380" s="8"/>
      <c r="GO1380" s="8"/>
      <c r="GP1380" s="8"/>
      <c r="GQ1380" s="8"/>
      <c r="GR1380" s="8"/>
      <c r="GS1380" s="8"/>
      <c r="GT1380" s="8"/>
      <c r="GU1380" s="8"/>
      <c r="GV1380" s="8"/>
      <c r="GW1380" s="8"/>
      <c r="GX1380" s="8"/>
      <c r="GY1380" s="8"/>
      <c r="GZ1380" s="8"/>
      <c r="HA1380" s="8"/>
      <c r="HB1380" s="8"/>
      <c r="HC1380" s="8"/>
      <c r="HD1380" s="8"/>
      <c r="HE1380" s="8"/>
      <c r="HF1380" s="8"/>
      <c r="HG1380" s="8"/>
      <c r="HH1380" s="8"/>
      <c r="HI1380" s="8"/>
      <c r="HJ1380" s="8"/>
      <c r="HK1380" s="8"/>
      <c r="HL1380" s="8"/>
      <c r="HM1380" s="8"/>
      <c r="HN1380" s="8"/>
      <c r="HO1380" s="8"/>
      <c r="HP1380" s="8"/>
      <c r="HQ1380" s="8"/>
      <c r="HR1380" s="8"/>
      <c r="HS1380" s="8"/>
      <c r="HT1380" s="8"/>
      <c r="HU1380" s="8"/>
      <c r="HV1380" s="8"/>
      <c r="HW1380" s="8"/>
      <c r="HX1380" s="8"/>
      <c r="HY1380" s="8"/>
      <c r="HZ1380" s="8"/>
      <c r="IA1380" s="8"/>
      <c r="IB1380" s="8"/>
      <c r="IC1380" s="8"/>
      <c r="ID1380" s="8"/>
      <c r="IE1380" s="8"/>
      <c r="IF1380" s="8"/>
    </row>
    <row r="1381" spans="1:240">
      <c r="A1381" s="14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8"/>
      <c r="AP1381" s="8"/>
      <c r="AQ1381" s="8"/>
      <c r="AR1381" s="8"/>
      <c r="AS1381" s="8"/>
      <c r="AT1381" s="8"/>
      <c r="AU1381" s="8"/>
      <c r="AV1381" s="8"/>
      <c r="AW1381" s="8"/>
      <c r="AX1381" s="8"/>
      <c r="AY1381" s="8"/>
      <c r="AZ1381" s="8"/>
      <c r="BA1381" s="8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8"/>
      <c r="BS1381" s="8"/>
      <c r="BT1381" s="8"/>
      <c r="BU1381" s="8"/>
      <c r="BV1381" s="8"/>
      <c r="BW1381" s="8"/>
      <c r="BX1381" s="8"/>
      <c r="BY1381" s="8"/>
      <c r="BZ1381" s="8"/>
      <c r="CA1381" s="8"/>
      <c r="CB1381" s="8"/>
      <c r="CC1381" s="8"/>
      <c r="CD1381" s="8"/>
      <c r="CE1381" s="8"/>
      <c r="CF1381" s="8"/>
      <c r="CG1381" s="8"/>
      <c r="CH1381" s="8"/>
      <c r="CI1381" s="8"/>
      <c r="CJ1381" s="8"/>
      <c r="CK1381" s="8"/>
      <c r="CL1381" s="8"/>
      <c r="CM1381" s="8"/>
      <c r="CN1381" s="8"/>
      <c r="CO1381" s="8"/>
      <c r="CP1381" s="8"/>
      <c r="CQ1381" s="8"/>
      <c r="CR1381" s="8"/>
      <c r="CS1381" s="8"/>
      <c r="CT1381" s="8"/>
      <c r="CU1381" s="8"/>
      <c r="CV1381" s="8"/>
      <c r="CW1381" s="8"/>
      <c r="CX1381" s="8"/>
      <c r="CY1381" s="8"/>
      <c r="CZ1381" s="8"/>
      <c r="DA1381" s="8"/>
      <c r="DB1381" s="8"/>
      <c r="DC1381" s="8"/>
      <c r="DD1381" s="8"/>
      <c r="DE1381" s="8"/>
      <c r="DF1381" s="8"/>
      <c r="DG1381" s="8"/>
      <c r="DH1381" s="8"/>
      <c r="DI1381" s="8"/>
      <c r="DJ1381" s="8"/>
      <c r="DK1381" s="8"/>
      <c r="DL1381" s="8"/>
      <c r="DM1381" s="8"/>
      <c r="DN1381" s="8"/>
      <c r="DO1381" s="8"/>
      <c r="DP1381" s="8"/>
      <c r="DQ1381" s="8"/>
      <c r="DR1381" s="8"/>
      <c r="DS1381" s="8"/>
      <c r="DT1381" s="8"/>
      <c r="DU1381" s="8"/>
      <c r="DV1381" s="8"/>
      <c r="DW1381" s="8"/>
      <c r="DX1381" s="8"/>
      <c r="DY1381" s="8"/>
      <c r="DZ1381" s="8"/>
      <c r="EA1381" s="8"/>
      <c r="EB1381" s="8"/>
      <c r="EC1381" s="8"/>
      <c r="ED1381" s="8"/>
      <c r="EE1381" s="8"/>
      <c r="EF1381" s="8"/>
      <c r="EG1381" s="8"/>
      <c r="EH1381" s="8"/>
      <c r="EI1381" s="8"/>
      <c r="EJ1381" s="8"/>
      <c r="EK1381" s="8"/>
      <c r="EL1381" s="8"/>
      <c r="EM1381" s="8"/>
      <c r="EN1381" s="8"/>
      <c r="EO1381" s="8"/>
      <c r="EP1381" s="8"/>
      <c r="EQ1381" s="8"/>
      <c r="ER1381" s="8"/>
      <c r="ES1381" s="8"/>
      <c r="ET1381" s="8"/>
      <c r="EU1381" s="8"/>
      <c r="EV1381" s="8"/>
      <c r="EW1381" s="8"/>
      <c r="EX1381" s="8"/>
      <c r="EY1381" s="8"/>
      <c r="EZ1381" s="8"/>
      <c r="FA1381" s="8"/>
      <c r="FB1381" s="8"/>
      <c r="FC1381" s="8"/>
      <c r="FD1381" s="8"/>
      <c r="FE1381" s="8"/>
      <c r="FF1381" s="8"/>
      <c r="FG1381" s="8"/>
      <c r="FH1381" s="8"/>
      <c r="FI1381" s="8"/>
      <c r="FJ1381" s="8"/>
      <c r="FK1381" s="8"/>
      <c r="FL1381" s="8"/>
      <c r="FM1381" s="8"/>
      <c r="FN1381" s="8"/>
      <c r="FO1381" s="8"/>
      <c r="FP1381" s="8"/>
      <c r="FQ1381" s="8"/>
      <c r="FR1381" s="8"/>
      <c r="FS1381" s="8"/>
      <c r="FT1381" s="8"/>
      <c r="FU1381" s="8"/>
      <c r="FV1381" s="8"/>
      <c r="FW1381" s="8"/>
      <c r="FX1381" s="8"/>
      <c r="FY1381" s="8"/>
      <c r="FZ1381" s="8"/>
      <c r="GA1381" s="8"/>
      <c r="GB1381" s="8"/>
      <c r="GC1381" s="8"/>
      <c r="GD1381" s="8"/>
      <c r="GE1381" s="8"/>
      <c r="GF1381" s="8"/>
      <c r="GG1381" s="8"/>
      <c r="GH1381" s="8"/>
      <c r="GI1381" s="8"/>
      <c r="GJ1381" s="8"/>
      <c r="GK1381" s="8"/>
      <c r="GL1381" s="8"/>
      <c r="GM1381" s="8"/>
      <c r="GN1381" s="8"/>
      <c r="GO1381" s="8"/>
      <c r="GP1381" s="8"/>
      <c r="GQ1381" s="8"/>
      <c r="GR1381" s="8"/>
      <c r="GS1381" s="8"/>
      <c r="GT1381" s="8"/>
      <c r="GU1381" s="8"/>
      <c r="GV1381" s="8"/>
      <c r="GW1381" s="8"/>
      <c r="GX1381" s="8"/>
      <c r="GY1381" s="8"/>
      <c r="GZ1381" s="8"/>
      <c r="HA1381" s="8"/>
      <c r="HB1381" s="8"/>
      <c r="HC1381" s="8"/>
      <c r="HD1381" s="8"/>
      <c r="HE1381" s="8"/>
      <c r="HF1381" s="8"/>
      <c r="HG1381" s="8"/>
      <c r="HH1381" s="8"/>
      <c r="HI1381" s="8"/>
      <c r="HJ1381" s="8"/>
      <c r="HK1381" s="8"/>
      <c r="HL1381" s="8"/>
      <c r="HM1381" s="8"/>
      <c r="HN1381" s="8"/>
      <c r="HO1381" s="8"/>
      <c r="HP1381" s="8"/>
      <c r="HQ1381" s="8"/>
      <c r="HR1381" s="8"/>
      <c r="HS1381" s="8"/>
      <c r="HT1381" s="8"/>
      <c r="HU1381" s="8"/>
      <c r="HV1381" s="8"/>
      <c r="HW1381" s="8"/>
      <c r="HX1381" s="8"/>
      <c r="HY1381" s="8"/>
      <c r="HZ1381" s="8"/>
      <c r="IA1381" s="8"/>
      <c r="IB1381" s="8"/>
      <c r="IC1381" s="8"/>
      <c r="ID1381" s="8"/>
      <c r="IE1381" s="8"/>
      <c r="IF1381" s="8"/>
    </row>
    <row r="1382" spans="1:240">
      <c r="A1382" s="14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8"/>
      <c r="AP1382" s="8"/>
      <c r="AQ1382" s="8"/>
      <c r="AR1382" s="8"/>
      <c r="AS1382" s="8"/>
      <c r="AT1382" s="8"/>
      <c r="AU1382" s="8"/>
      <c r="AV1382" s="8"/>
      <c r="AW1382" s="8"/>
      <c r="AX1382" s="8"/>
      <c r="AY1382" s="8"/>
      <c r="AZ1382" s="8"/>
      <c r="BA1382" s="8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8"/>
      <c r="BS1382" s="8"/>
      <c r="BT1382" s="8"/>
      <c r="BU1382" s="8"/>
      <c r="BV1382" s="8"/>
      <c r="BW1382" s="8"/>
      <c r="BX1382" s="8"/>
      <c r="BY1382" s="8"/>
      <c r="BZ1382" s="8"/>
      <c r="CA1382" s="8"/>
      <c r="CB1382" s="8"/>
      <c r="CC1382" s="8"/>
      <c r="CD1382" s="8"/>
      <c r="CE1382" s="8"/>
      <c r="CF1382" s="8"/>
      <c r="CG1382" s="8"/>
      <c r="CH1382" s="8"/>
      <c r="CI1382" s="8"/>
      <c r="CJ1382" s="8"/>
      <c r="CK1382" s="8"/>
      <c r="CL1382" s="8"/>
      <c r="CM1382" s="8"/>
      <c r="CN1382" s="8"/>
      <c r="CO1382" s="8"/>
      <c r="CP1382" s="8"/>
      <c r="CQ1382" s="8"/>
      <c r="CR1382" s="8"/>
      <c r="CS1382" s="8"/>
      <c r="CT1382" s="8"/>
      <c r="CU1382" s="8"/>
      <c r="CV1382" s="8"/>
      <c r="CW1382" s="8"/>
      <c r="CX1382" s="8"/>
      <c r="CY1382" s="8"/>
      <c r="CZ1382" s="8"/>
      <c r="DA1382" s="8"/>
      <c r="DB1382" s="8"/>
      <c r="DC1382" s="8"/>
      <c r="DD1382" s="8"/>
      <c r="DE1382" s="8"/>
      <c r="DF1382" s="8"/>
      <c r="DG1382" s="8"/>
      <c r="DH1382" s="8"/>
      <c r="DI1382" s="8"/>
      <c r="DJ1382" s="8"/>
      <c r="DK1382" s="8"/>
      <c r="DL1382" s="8"/>
      <c r="DM1382" s="8"/>
      <c r="DN1382" s="8"/>
      <c r="DO1382" s="8"/>
      <c r="DP1382" s="8"/>
      <c r="DQ1382" s="8"/>
      <c r="DR1382" s="8"/>
      <c r="DS1382" s="8"/>
      <c r="DT1382" s="8"/>
      <c r="DU1382" s="8"/>
      <c r="DV1382" s="8"/>
      <c r="DW1382" s="8"/>
      <c r="DX1382" s="8"/>
      <c r="DY1382" s="8"/>
      <c r="DZ1382" s="8"/>
      <c r="EA1382" s="8"/>
      <c r="EB1382" s="8"/>
      <c r="EC1382" s="8"/>
      <c r="ED1382" s="8"/>
      <c r="EE1382" s="8"/>
      <c r="EF1382" s="8"/>
      <c r="EG1382" s="8"/>
      <c r="EH1382" s="8"/>
      <c r="EI1382" s="8"/>
      <c r="EJ1382" s="8"/>
      <c r="EK1382" s="8"/>
      <c r="EL1382" s="8"/>
      <c r="EM1382" s="8"/>
      <c r="EN1382" s="8"/>
      <c r="EO1382" s="8"/>
      <c r="EP1382" s="8"/>
      <c r="EQ1382" s="8"/>
      <c r="ER1382" s="8"/>
      <c r="ES1382" s="8"/>
      <c r="ET1382" s="8"/>
      <c r="EU1382" s="8"/>
      <c r="EV1382" s="8"/>
      <c r="EW1382" s="8"/>
      <c r="EX1382" s="8"/>
      <c r="EY1382" s="8"/>
      <c r="EZ1382" s="8"/>
      <c r="FA1382" s="8"/>
      <c r="FB1382" s="8"/>
      <c r="FC1382" s="8"/>
      <c r="FD1382" s="8"/>
      <c r="FE1382" s="8"/>
      <c r="FF1382" s="8"/>
      <c r="FG1382" s="8"/>
      <c r="FH1382" s="8"/>
      <c r="FI1382" s="8"/>
      <c r="FJ1382" s="8"/>
      <c r="FK1382" s="8"/>
      <c r="FL1382" s="8"/>
      <c r="FM1382" s="8"/>
      <c r="FN1382" s="8"/>
      <c r="FO1382" s="8"/>
      <c r="FP1382" s="8"/>
      <c r="FQ1382" s="8"/>
      <c r="FR1382" s="8"/>
      <c r="FS1382" s="8"/>
      <c r="FT1382" s="8"/>
      <c r="FU1382" s="8"/>
      <c r="FV1382" s="8"/>
      <c r="FW1382" s="8"/>
      <c r="FX1382" s="8"/>
      <c r="FY1382" s="8"/>
      <c r="FZ1382" s="8"/>
      <c r="GA1382" s="8"/>
      <c r="GB1382" s="8"/>
      <c r="GC1382" s="8"/>
      <c r="GD1382" s="8"/>
      <c r="GE1382" s="8"/>
      <c r="GF1382" s="8"/>
      <c r="GG1382" s="8"/>
      <c r="GH1382" s="8"/>
      <c r="GI1382" s="8"/>
      <c r="GJ1382" s="8"/>
      <c r="GK1382" s="8"/>
      <c r="GL1382" s="8"/>
      <c r="GM1382" s="8"/>
      <c r="GN1382" s="8"/>
      <c r="GO1382" s="8"/>
      <c r="GP1382" s="8"/>
      <c r="GQ1382" s="8"/>
      <c r="GR1382" s="8"/>
      <c r="GS1382" s="8"/>
      <c r="GT1382" s="8"/>
      <c r="GU1382" s="8"/>
      <c r="GV1382" s="8"/>
      <c r="GW1382" s="8"/>
      <c r="GX1382" s="8"/>
      <c r="GY1382" s="8"/>
      <c r="GZ1382" s="8"/>
      <c r="HA1382" s="8"/>
      <c r="HB1382" s="8"/>
      <c r="HC1382" s="8"/>
      <c r="HD1382" s="8"/>
      <c r="HE1382" s="8"/>
      <c r="HF1382" s="8"/>
      <c r="HG1382" s="8"/>
      <c r="HH1382" s="8"/>
      <c r="HI1382" s="8"/>
      <c r="HJ1382" s="8"/>
      <c r="HK1382" s="8"/>
      <c r="HL1382" s="8"/>
      <c r="HM1382" s="8"/>
      <c r="HN1382" s="8"/>
      <c r="HO1382" s="8"/>
      <c r="HP1382" s="8"/>
      <c r="HQ1382" s="8"/>
      <c r="HR1382" s="8"/>
      <c r="HS1382" s="8"/>
      <c r="HT1382" s="8"/>
      <c r="HU1382" s="8"/>
      <c r="HV1382" s="8"/>
      <c r="HW1382" s="8"/>
      <c r="HX1382" s="8"/>
      <c r="HY1382" s="8"/>
      <c r="HZ1382" s="8"/>
      <c r="IA1382" s="8"/>
      <c r="IB1382" s="8"/>
      <c r="IC1382" s="8"/>
      <c r="ID1382" s="8"/>
      <c r="IE1382" s="8"/>
      <c r="IF1382" s="8"/>
    </row>
    <row r="1383" spans="1:240">
      <c r="A1383" s="14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8"/>
      <c r="AP1383" s="8"/>
      <c r="AQ1383" s="8"/>
      <c r="AR1383" s="8"/>
      <c r="AS1383" s="8"/>
      <c r="AT1383" s="8"/>
      <c r="AU1383" s="8"/>
      <c r="AV1383" s="8"/>
      <c r="AW1383" s="8"/>
      <c r="AX1383" s="8"/>
      <c r="AY1383" s="8"/>
      <c r="AZ1383" s="8"/>
      <c r="BA1383" s="8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8"/>
      <c r="BS1383" s="8"/>
      <c r="BT1383" s="8"/>
      <c r="BU1383" s="8"/>
      <c r="BV1383" s="8"/>
      <c r="BW1383" s="8"/>
      <c r="BX1383" s="8"/>
      <c r="BY1383" s="8"/>
      <c r="BZ1383" s="8"/>
      <c r="CA1383" s="8"/>
      <c r="CB1383" s="8"/>
      <c r="CC1383" s="8"/>
      <c r="CD1383" s="8"/>
      <c r="CE1383" s="8"/>
      <c r="CF1383" s="8"/>
      <c r="CG1383" s="8"/>
      <c r="CH1383" s="8"/>
      <c r="CI1383" s="8"/>
      <c r="CJ1383" s="8"/>
      <c r="CK1383" s="8"/>
      <c r="CL1383" s="8"/>
      <c r="CM1383" s="8"/>
      <c r="CN1383" s="8"/>
      <c r="CO1383" s="8"/>
      <c r="CP1383" s="8"/>
      <c r="CQ1383" s="8"/>
      <c r="CR1383" s="8"/>
      <c r="CS1383" s="8"/>
      <c r="CT1383" s="8"/>
      <c r="CU1383" s="8"/>
      <c r="CV1383" s="8"/>
      <c r="CW1383" s="8"/>
      <c r="CX1383" s="8"/>
      <c r="CY1383" s="8"/>
      <c r="CZ1383" s="8"/>
      <c r="DA1383" s="8"/>
      <c r="DB1383" s="8"/>
      <c r="DC1383" s="8"/>
      <c r="DD1383" s="8"/>
      <c r="DE1383" s="8"/>
      <c r="DF1383" s="8"/>
      <c r="DG1383" s="8"/>
      <c r="DH1383" s="8"/>
      <c r="DI1383" s="8"/>
      <c r="DJ1383" s="8"/>
      <c r="DK1383" s="8"/>
      <c r="DL1383" s="8"/>
      <c r="DM1383" s="8"/>
      <c r="DN1383" s="8"/>
      <c r="DO1383" s="8"/>
      <c r="DP1383" s="8"/>
      <c r="DQ1383" s="8"/>
      <c r="DR1383" s="8"/>
      <c r="DS1383" s="8"/>
      <c r="DT1383" s="8"/>
      <c r="DU1383" s="8"/>
      <c r="DV1383" s="8"/>
      <c r="DW1383" s="8"/>
      <c r="DX1383" s="8"/>
      <c r="DY1383" s="8"/>
      <c r="DZ1383" s="8"/>
      <c r="EA1383" s="8"/>
      <c r="EB1383" s="8"/>
      <c r="EC1383" s="8"/>
      <c r="ED1383" s="8"/>
      <c r="EE1383" s="8"/>
      <c r="EF1383" s="8"/>
      <c r="EG1383" s="8"/>
      <c r="EH1383" s="8"/>
      <c r="EI1383" s="8"/>
      <c r="EJ1383" s="8"/>
      <c r="EK1383" s="8"/>
      <c r="EL1383" s="8"/>
      <c r="EM1383" s="8"/>
      <c r="EN1383" s="8"/>
      <c r="EO1383" s="8"/>
      <c r="EP1383" s="8"/>
      <c r="EQ1383" s="8"/>
      <c r="ER1383" s="8"/>
      <c r="ES1383" s="8"/>
      <c r="ET1383" s="8"/>
      <c r="EU1383" s="8"/>
      <c r="EV1383" s="8"/>
      <c r="EW1383" s="8"/>
      <c r="EX1383" s="8"/>
      <c r="EY1383" s="8"/>
      <c r="EZ1383" s="8"/>
      <c r="FA1383" s="8"/>
      <c r="FB1383" s="8"/>
      <c r="FC1383" s="8"/>
      <c r="FD1383" s="8"/>
      <c r="FE1383" s="8"/>
      <c r="FF1383" s="8"/>
      <c r="FG1383" s="8"/>
      <c r="FH1383" s="8"/>
      <c r="FI1383" s="8"/>
      <c r="FJ1383" s="8"/>
      <c r="FK1383" s="8"/>
      <c r="FL1383" s="8"/>
      <c r="FM1383" s="8"/>
      <c r="FN1383" s="8"/>
      <c r="FO1383" s="8"/>
      <c r="FP1383" s="8"/>
      <c r="FQ1383" s="8"/>
      <c r="FR1383" s="8"/>
      <c r="FS1383" s="8"/>
      <c r="FT1383" s="8"/>
      <c r="FU1383" s="8"/>
      <c r="FV1383" s="8"/>
      <c r="FW1383" s="8"/>
      <c r="FX1383" s="8"/>
      <c r="FY1383" s="8"/>
      <c r="FZ1383" s="8"/>
      <c r="GA1383" s="8"/>
      <c r="GB1383" s="8"/>
      <c r="GC1383" s="8"/>
      <c r="GD1383" s="8"/>
      <c r="GE1383" s="8"/>
      <c r="GF1383" s="8"/>
      <c r="GG1383" s="8"/>
      <c r="GH1383" s="8"/>
      <c r="GI1383" s="8"/>
      <c r="GJ1383" s="8"/>
      <c r="GK1383" s="8"/>
      <c r="GL1383" s="8"/>
      <c r="GM1383" s="8"/>
      <c r="GN1383" s="8"/>
      <c r="GO1383" s="8"/>
      <c r="GP1383" s="8"/>
      <c r="GQ1383" s="8"/>
      <c r="GR1383" s="8"/>
      <c r="GS1383" s="8"/>
      <c r="GT1383" s="8"/>
      <c r="GU1383" s="8"/>
      <c r="GV1383" s="8"/>
      <c r="GW1383" s="8"/>
      <c r="GX1383" s="8"/>
      <c r="GY1383" s="8"/>
      <c r="GZ1383" s="8"/>
      <c r="HA1383" s="8"/>
      <c r="HB1383" s="8"/>
      <c r="HC1383" s="8"/>
      <c r="HD1383" s="8"/>
      <c r="HE1383" s="8"/>
      <c r="HF1383" s="8"/>
      <c r="HG1383" s="8"/>
      <c r="HH1383" s="8"/>
      <c r="HI1383" s="8"/>
      <c r="HJ1383" s="8"/>
      <c r="HK1383" s="8"/>
      <c r="HL1383" s="8"/>
      <c r="HM1383" s="8"/>
      <c r="HN1383" s="8"/>
      <c r="HO1383" s="8"/>
      <c r="HP1383" s="8"/>
      <c r="HQ1383" s="8"/>
      <c r="HR1383" s="8"/>
      <c r="HS1383" s="8"/>
      <c r="HT1383" s="8"/>
      <c r="HU1383" s="8"/>
      <c r="HV1383" s="8"/>
      <c r="HW1383" s="8"/>
      <c r="HX1383" s="8"/>
      <c r="HY1383" s="8"/>
      <c r="HZ1383" s="8"/>
      <c r="IA1383" s="8"/>
      <c r="IB1383" s="8"/>
      <c r="IC1383" s="8"/>
      <c r="ID1383" s="8"/>
      <c r="IE1383" s="8"/>
      <c r="IF1383" s="8"/>
    </row>
    <row r="1384" spans="1:240">
      <c r="A1384" s="14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8"/>
      <c r="AP1384" s="8"/>
      <c r="AQ1384" s="8"/>
      <c r="AR1384" s="8"/>
      <c r="AS1384" s="8"/>
      <c r="AT1384" s="8"/>
      <c r="AU1384" s="8"/>
      <c r="AV1384" s="8"/>
      <c r="AW1384" s="8"/>
      <c r="AX1384" s="8"/>
      <c r="AY1384" s="8"/>
      <c r="AZ1384" s="8"/>
      <c r="BA1384" s="8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8"/>
      <c r="BS1384" s="8"/>
      <c r="BT1384" s="8"/>
      <c r="BU1384" s="8"/>
      <c r="BV1384" s="8"/>
      <c r="BW1384" s="8"/>
      <c r="BX1384" s="8"/>
      <c r="BY1384" s="8"/>
      <c r="BZ1384" s="8"/>
      <c r="CA1384" s="8"/>
      <c r="CB1384" s="8"/>
      <c r="CC1384" s="8"/>
      <c r="CD1384" s="8"/>
      <c r="CE1384" s="8"/>
      <c r="CF1384" s="8"/>
      <c r="CG1384" s="8"/>
      <c r="CH1384" s="8"/>
      <c r="CI1384" s="8"/>
      <c r="CJ1384" s="8"/>
      <c r="CK1384" s="8"/>
      <c r="CL1384" s="8"/>
      <c r="CM1384" s="8"/>
      <c r="CN1384" s="8"/>
      <c r="CO1384" s="8"/>
      <c r="CP1384" s="8"/>
      <c r="CQ1384" s="8"/>
      <c r="CR1384" s="8"/>
      <c r="CS1384" s="8"/>
      <c r="CT1384" s="8"/>
      <c r="CU1384" s="8"/>
      <c r="CV1384" s="8"/>
      <c r="CW1384" s="8"/>
      <c r="CX1384" s="8"/>
      <c r="CY1384" s="8"/>
      <c r="CZ1384" s="8"/>
      <c r="DA1384" s="8"/>
      <c r="DB1384" s="8"/>
      <c r="DC1384" s="8"/>
      <c r="DD1384" s="8"/>
      <c r="DE1384" s="8"/>
      <c r="DF1384" s="8"/>
      <c r="DG1384" s="8"/>
      <c r="DH1384" s="8"/>
      <c r="DI1384" s="8"/>
      <c r="DJ1384" s="8"/>
      <c r="DK1384" s="8"/>
      <c r="DL1384" s="8"/>
      <c r="DM1384" s="8"/>
      <c r="DN1384" s="8"/>
      <c r="DO1384" s="8"/>
      <c r="DP1384" s="8"/>
      <c r="DQ1384" s="8"/>
      <c r="DR1384" s="8"/>
      <c r="DS1384" s="8"/>
      <c r="DT1384" s="8"/>
      <c r="DU1384" s="8"/>
      <c r="DV1384" s="8"/>
      <c r="DW1384" s="8"/>
      <c r="DX1384" s="8"/>
      <c r="DY1384" s="8"/>
      <c r="DZ1384" s="8"/>
      <c r="EA1384" s="8"/>
      <c r="EB1384" s="8"/>
      <c r="EC1384" s="8"/>
      <c r="ED1384" s="8"/>
      <c r="EE1384" s="8"/>
      <c r="EF1384" s="8"/>
      <c r="EG1384" s="8"/>
      <c r="EH1384" s="8"/>
      <c r="EI1384" s="8"/>
      <c r="EJ1384" s="8"/>
      <c r="EK1384" s="8"/>
      <c r="EL1384" s="8"/>
      <c r="EM1384" s="8"/>
      <c r="EN1384" s="8"/>
      <c r="EO1384" s="8"/>
      <c r="EP1384" s="8"/>
      <c r="EQ1384" s="8"/>
      <c r="ER1384" s="8"/>
      <c r="ES1384" s="8"/>
      <c r="ET1384" s="8"/>
      <c r="EU1384" s="8"/>
      <c r="EV1384" s="8"/>
      <c r="EW1384" s="8"/>
      <c r="EX1384" s="8"/>
      <c r="EY1384" s="8"/>
      <c r="EZ1384" s="8"/>
      <c r="FA1384" s="8"/>
      <c r="FB1384" s="8"/>
      <c r="FC1384" s="8"/>
      <c r="FD1384" s="8"/>
      <c r="FE1384" s="8"/>
      <c r="FF1384" s="8"/>
      <c r="FG1384" s="8"/>
      <c r="FH1384" s="8"/>
      <c r="FI1384" s="8"/>
      <c r="FJ1384" s="8"/>
      <c r="FK1384" s="8"/>
      <c r="FL1384" s="8"/>
      <c r="FM1384" s="8"/>
      <c r="FN1384" s="8"/>
      <c r="FO1384" s="8"/>
      <c r="FP1384" s="8"/>
      <c r="FQ1384" s="8"/>
      <c r="FR1384" s="8"/>
      <c r="FS1384" s="8"/>
      <c r="FT1384" s="8"/>
      <c r="FU1384" s="8"/>
      <c r="FV1384" s="8"/>
      <c r="FW1384" s="8"/>
      <c r="FX1384" s="8"/>
      <c r="FY1384" s="8"/>
      <c r="FZ1384" s="8"/>
      <c r="GA1384" s="8"/>
      <c r="GB1384" s="8"/>
      <c r="GC1384" s="8"/>
      <c r="GD1384" s="8"/>
      <c r="GE1384" s="8"/>
      <c r="GF1384" s="8"/>
      <c r="GG1384" s="8"/>
      <c r="GH1384" s="8"/>
      <c r="GI1384" s="8"/>
      <c r="GJ1384" s="8"/>
      <c r="GK1384" s="8"/>
      <c r="GL1384" s="8"/>
      <c r="GM1384" s="8"/>
      <c r="GN1384" s="8"/>
      <c r="GO1384" s="8"/>
      <c r="GP1384" s="8"/>
      <c r="GQ1384" s="8"/>
      <c r="GR1384" s="8"/>
      <c r="GS1384" s="8"/>
      <c r="GT1384" s="8"/>
      <c r="GU1384" s="8"/>
      <c r="GV1384" s="8"/>
      <c r="GW1384" s="8"/>
      <c r="GX1384" s="8"/>
      <c r="GY1384" s="8"/>
      <c r="GZ1384" s="8"/>
      <c r="HA1384" s="8"/>
      <c r="HB1384" s="8"/>
      <c r="HC1384" s="8"/>
      <c r="HD1384" s="8"/>
      <c r="HE1384" s="8"/>
      <c r="HF1384" s="8"/>
      <c r="HG1384" s="8"/>
      <c r="HH1384" s="8"/>
      <c r="HI1384" s="8"/>
      <c r="HJ1384" s="8"/>
      <c r="HK1384" s="8"/>
      <c r="HL1384" s="8"/>
      <c r="HM1384" s="8"/>
      <c r="HN1384" s="8"/>
      <c r="HO1384" s="8"/>
      <c r="HP1384" s="8"/>
      <c r="HQ1384" s="8"/>
      <c r="HR1384" s="8"/>
      <c r="HS1384" s="8"/>
      <c r="HT1384" s="8"/>
      <c r="HU1384" s="8"/>
      <c r="HV1384" s="8"/>
      <c r="HW1384" s="8"/>
      <c r="HX1384" s="8"/>
      <c r="HY1384" s="8"/>
      <c r="HZ1384" s="8"/>
      <c r="IA1384" s="8"/>
      <c r="IB1384" s="8"/>
      <c r="IC1384" s="8"/>
      <c r="ID1384" s="8"/>
      <c r="IE1384" s="8"/>
      <c r="IF1384" s="8"/>
    </row>
    <row r="1385" spans="1:240">
      <c r="A1385" s="14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8"/>
      <c r="BS1385" s="8"/>
      <c r="BT1385" s="8"/>
      <c r="BU1385" s="8"/>
      <c r="BV1385" s="8"/>
      <c r="BW1385" s="8"/>
      <c r="BX1385" s="8"/>
      <c r="BY1385" s="8"/>
      <c r="BZ1385" s="8"/>
      <c r="CA1385" s="8"/>
      <c r="CB1385" s="8"/>
      <c r="CC1385" s="8"/>
      <c r="CD1385" s="8"/>
      <c r="CE1385" s="8"/>
      <c r="CF1385" s="8"/>
      <c r="CG1385" s="8"/>
      <c r="CH1385" s="8"/>
      <c r="CI1385" s="8"/>
      <c r="CJ1385" s="8"/>
      <c r="CK1385" s="8"/>
      <c r="CL1385" s="8"/>
      <c r="CM1385" s="8"/>
      <c r="CN1385" s="8"/>
      <c r="CO1385" s="8"/>
      <c r="CP1385" s="8"/>
      <c r="CQ1385" s="8"/>
      <c r="CR1385" s="8"/>
      <c r="CS1385" s="8"/>
      <c r="CT1385" s="8"/>
      <c r="CU1385" s="8"/>
      <c r="CV1385" s="8"/>
      <c r="CW1385" s="8"/>
      <c r="CX1385" s="8"/>
      <c r="CY1385" s="8"/>
      <c r="CZ1385" s="8"/>
      <c r="DA1385" s="8"/>
      <c r="DB1385" s="8"/>
      <c r="DC1385" s="8"/>
      <c r="DD1385" s="8"/>
      <c r="DE1385" s="8"/>
      <c r="DF1385" s="8"/>
      <c r="DG1385" s="8"/>
      <c r="DH1385" s="8"/>
      <c r="DI1385" s="8"/>
      <c r="DJ1385" s="8"/>
      <c r="DK1385" s="8"/>
      <c r="DL1385" s="8"/>
      <c r="DM1385" s="8"/>
      <c r="DN1385" s="8"/>
      <c r="DO1385" s="8"/>
      <c r="DP1385" s="8"/>
      <c r="DQ1385" s="8"/>
      <c r="DR1385" s="8"/>
      <c r="DS1385" s="8"/>
      <c r="DT1385" s="8"/>
      <c r="DU1385" s="8"/>
      <c r="DV1385" s="8"/>
      <c r="DW1385" s="8"/>
      <c r="DX1385" s="8"/>
      <c r="DY1385" s="8"/>
      <c r="DZ1385" s="8"/>
      <c r="EA1385" s="8"/>
      <c r="EB1385" s="8"/>
      <c r="EC1385" s="8"/>
      <c r="ED1385" s="8"/>
      <c r="EE1385" s="8"/>
      <c r="EF1385" s="8"/>
      <c r="EG1385" s="8"/>
      <c r="EH1385" s="8"/>
      <c r="EI1385" s="8"/>
      <c r="EJ1385" s="8"/>
      <c r="EK1385" s="8"/>
      <c r="EL1385" s="8"/>
      <c r="EM1385" s="8"/>
      <c r="EN1385" s="8"/>
      <c r="EO1385" s="8"/>
      <c r="EP1385" s="8"/>
      <c r="EQ1385" s="8"/>
      <c r="ER1385" s="8"/>
      <c r="ES1385" s="8"/>
      <c r="ET1385" s="8"/>
      <c r="EU1385" s="8"/>
      <c r="EV1385" s="8"/>
      <c r="EW1385" s="8"/>
      <c r="EX1385" s="8"/>
      <c r="EY1385" s="8"/>
      <c r="EZ1385" s="8"/>
      <c r="FA1385" s="8"/>
      <c r="FB1385" s="8"/>
      <c r="FC1385" s="8"/>
      <c r="FD1385" s="8"/>
      <c r="FE1385" s="8"/>
      <c r="FF1385" s="8"/>
      <c r="FG1385" s="8"/>
      <c r="FH1385" s="8"/>
      <c r="FI1385" s="8"/>
      <c r="FJ1385" s="8"/>
      <c r="FK1385" s="8"/>
      <c r="FL1385" s="8"/>
      <c r="FM1385" s="8"/>
      <c r="FN1385" s="8"/>
      <c r="FO1385" s="8"/>
      <c r="FP1385" s="8"/>
      <c r="FQ1385" s="8"/>
      <c r="FR1385" s="8"/>
      <c r="FS1385" s="8"/>
      <c r="FT1385" s="8"/>
      <c r="FU1385" s="8"/>
      <c r="FV1385" s="8"/>
      <c r="FW1385" s="8"/>
      <c r="FX1385" s="8"/>
      <c r="FY1385" s="8"/>
      <c r="FZ1385" s="8"/>
      <c r="GA1385" s="8"/>
      <c r="GB1385" s="8"/>
      <c r="GC1385" s="8"/>
      <c r="GD1385" s="8"/>
      <c r="GE1385" s="8"/>
      <c r="GF1385" s="8"/>
      <c r="GG1385" s="8"/>
      <c r="GH1385" s="8"/>
      <c r="GI1385" s="8"/>
      <c r="GJ1385" s="8"/>
      <c r="GK1385" s="8"/>
      <c r="GL1385" s="8"/>
      <c r="GM1385" s="8"/>
      <c r="GN1385" s="8"/>
      <c r="GO1385" s="8"/>
      <c r="GP1385" s="8"/>
      <c r="GQ1385" s="8"/>
      <c r="GR1385" s="8"/>
      <c r="GS1385" s="8"/>
      <c r="GT1385" s="8"/>
      <c r="GU1385" s="8"/>
      <c r="GV1385" s="8"/>
      <c r="GW1385" s="8"/>
      <c r="GX1385" s="8"/>
      <c r="GY1385" s="8"/>
      <c r="GZ1385" s="8"/>
      <c r="HA1385" s="8"/>
      <c r="HB1385" s="8"/>
      <c r="HC1385" s="8"/>
      <c r="HD1385" s="8"/>
      <c r="HE1385" s="8"/>
      <c r="HF1385" s="8"/>
      <c r="HG1385" s="8"/>
      <c r="HH1385" s="8"/>
      <c r="HI1385" s="8"/>
      <c r="HJ1385" s="8"/>
      <c r="HK1385" s="8"/>
      <c r="HL1385" s="8"/>
      <c r="HM1385" s="8"/>
      <c r="HN1385" s="8"/>
      <c r="HO1385" s="8"/>
      <c r="HP1385" s="8"/>
      <c r="HQ1385" s="8"/>
      <c r="HR1385" s="8"/>
      <c r="HS1385" s="8"/>
      <c r="HT1385" s="8"/>
      <c r="HU1385" s="8"/>
      <c r="HV1385" s="8"/>
      <c r="HW1385" s="8"/>
      <c r="HX1385" s="8"/>
      <c r="HY1385" s="8"/>
      <c r="HZ1385" s="8"/>
      <c r="IA1385" s="8"/>
      <c r="IB1385" s="8"/>
      <c r="IC1385" s="8"/>
      <c r="ID1385" s="8"/>
      <c r="IE1385" s="8"/>
      <c r="IF1385" s="8"/>
    </row>
    <row r="1386" spans="1:240">
      <c r="A1386" s="14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8"/>
      <c r="AP1386" s="8"/>
      <c r="AQ1386" s="8"/>
      <c r="AR1386" s="8"/>
      <c r="AS1386" s="8"/>
      <c r="AT1386" s="8"/>
      <c r="AU1386" s="8"/>
      <c r="AV1386" s="8"/>
      <c r="AW1386" s="8"/>
      <c r="AX1386" s="8"/>
      <c r="AY1386" s="8"/>
      <c r="AZ1386" s="8"/>
      <c r="BA1386" s="8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8"/>
      <c r="BS1386" s="8"/>
      <c r="BT1386" s="8"/>
      <c r="BU1386" s="8"/>
      <c r="BV1386" s="8"/>
      <c r="BW1386" s="8"/>
      <c r="BX1386" s="8"/>
      <c r="BY1386" s="8"/>
      <c r="BZ1386" s="8"/>
      <c r="CA1386" s="8"/>
      <c r="CB1386" s="8"/>
      <c r="CC1386" s="8"/>
      <c r="CD1386" s="8"/>
      <c r="CE1386" s="8"/>
      <c r="CF1386" s="8"/>
      <c r="CG1386" s="8"/>
      <c r="CH1386" s="8"/>
      <c r="CI1386" s="8"/>
      <c r="CJ1386" s="8"/>
      <c r="CK1386" s="8"/>
      <c r="CL1386" s="8"/>
      <c r="CM1386" s="8"/>
      <c r="CN1386" s="8"/>
      <c r="CO1386" s="8"/>
      <c r="CP1386" s="8"/>
      <c r="CQ1386" s="8"/>
      <c r="CR1386" s="8"/>
      <c r="CS1386" s="8"/>
      <c r="CT1386" s="8"/>
      <c r="CU1386" s="8"/>
      <c r="CV1386" s="8"/>
      <c r="CW1386" s="8"/>
      <c r="CX1386" s="8"/>
      <c r="CY1386" s="8"/>
      <c r="CZ1386" s="8"/>
      <c r="DA1386" s="8"/>
      <c r="DB1386" s="8"/>
      <c r="DC1386" s="8"/>
      <c r="DD1386" s="8"/>
      <c r="DE1386" s="8"/>
      <c r="DF1386" s="8"/>
      <c r="DG1386" s="8"/>
      <c r="DH1386" s="8"/>
      <c r="DI1386" s="8"/>
      <c r="DJ1386" s="8"/>
      <c r="DK1386" s="8"/>
      <c r="DL1386" s="8"/>
      <c r="DM1386" s="8"/>
      <c r="DN1386" s="8"/>
      <c r="DO1386" s="8"/>
      <c r="DP1386" s="8"/>
      <c r="DQ1386" s="8"/>
      <c r="DR1386" s="8"/>
      <c r="DS1386" s="8"/>
      <c r="DT1386" s="8"/>
      <c r="DU1386" s="8"/>
      <c r="DV1386" s="8"/>
      <c r="DW1386" s="8"/>
      <c r="DX1386" s="8"/>
      <c r="DY1386" s="8"/>
      <c r="DZ1386" s="8"/>
      <c r="EA1386" s="8"/>
      <c r="EB1386" s="8"/>
      <c r="EC1386" s="8"/>
      <c r="ED1386" s="8"/>
      <c r="EE1386" s="8"/>
      <c r="EF1386" s="8"/>
      <c r="EG1386" s="8"/>
      <c r="EH1386" s="8"/>
      <c r="EI1386" s="8"/>
      <c r="EJ1386" s="8"/>
      <c r="EK1386" s="8"/>
      <c r="EL1386" s="8"/>
      <c r="EM1386" s="8"/>
      <c r="EN1386" s="8"/>
      <c r="EO1386" s="8"/>
      <c r="EP1386" s="8"/>
      <c r="EQ1386" s="8"/>
      <c r="ER1386" s="8"/>
      <c r="ES1386" s="8"/>
      <c r="ET1386" s="8"/>
      <c r="EU1386" s="8"/>
      <c r="EV1386" s="8"/>
      <c r="EW1386" s="8"/>
      <c r="EX1386" s="8"/>
      <c r="EY1386" s="8"/>
      <c r="EZ1386" s="8"/>
      <c r="FA1386" s="8"/>
      <c r="FB1386" s="8"/>
      <c r="FC1386" s="8"/>
      <c r="FD1386" s="8"/>
      <c r="FE1386" s="8"/>
      <c r="FF1386" s="8"/>
      <c r="FG1386" s="8"/>
      <c r="FH1386" s="8"/>
      <c r="FI1386" s="8"/>
      <c r="FJ1386" s="8"/>
      <c r="FK1386" s="8"/>
      <c r="FL1386" s="8"/>
      <c r="FM1386" s="8"/>
      <c r="FN1386" s="8"/>
      <c r="FO1386" s="8"/>
      <c r="FP1386" s="8"/>
      <c r="FQ1386" s="8"/>
      <c r="FR1386" s="8"/>
      <c r="FS1386" s="8"/>
      <c r="FT1386" s="8"/>
      <c r="FU1386" s="8"/>
      <c r="FV1386" s="8"/>
      <c r="FW1386" s="8"/>
      <c r="FX1386" s="8"/>
      <c r="FY1386" s="8"/>
      <c r="FZ1386" s="8"/>
      <c r="GA1386" s="8"/>
      <c r="GB1386" s="8"/>
      <c r="GC1386" s="8"/>
      <c r="GD1386" s="8"/>
      <c r="GE1386" s="8"/>
      <c r="GF1386" s="8"/>
      <c r="GG1386" s="8"/>
      <c r="GH1386" s="8"/>
      <c r="GI1386" s="8"/>
      <c r="GJ1386" s="8"/>
      <c r="GK1386" s="8"/>
      <c r="GL1386" s="8"/>
      <c r="GM1386" s="8"/>
      <c r="GN1386" s="8"/>
      <c r="GO1386" s="8"/>
      <c r="GP1386" s="8"/>
      <c r="GQ1386" s="8"/>
      <c r="GR1386" s="8"/>
      <c r="GS1386" s="8"/>
      <c r="GT1386" s="8"/>
      <c r="GU1386" s="8"/>
      <c r="GV1386" s="8"/>
      <c r="GW1386" s="8"/>
      <c r="GX1386" s="8"/>
      <c r="GY1386" s="8"/>
      <c r="GZ1386" s="8"/>
      <c r="HA1386" s="8"/>
      <c r="HB1386" s="8"/>
      <c r="HC1386" s="8"/>
      <c r="HD1386" s="8"/>
      <c r="HE1386" s="8"/>
      <c r="HF1386" s="8"/>
      <c r="HG1386" s="8"/>
      <c r="HH1386" s="8"/>
      <c r="HI1386" s="8"/>
      <c r="HJ1386" s="8"/>
      <c r="HK1386" s="8"/>
      <c r="HL1386" s="8"/>
      <c r="HM1386" s="8"/>
      <c r="HN1386" s="8"/>
      <c r="HO1386" s="8"/>
      <c r="HP1386" s="8"/>
      <c r="HQ1386" s="8"/>
      <c r="HR1386" s="8"/>
      <c r="HS1386" s="8"/>
      <c r="HT1386" s="8"/>
      <c r="HU1386" s="8"/>
      <c r="HV1386" s="8"/>
      <c r="HW1386" s="8"/>
      <c r="HX1386" s="8"/>
      <c r="HY1386" s="8"/>
      <c r="HZ1386" s="8"/>
      <c r="IA1386" s="8"/>
      <c r="IB1386" s="8"/>
      <c r="IC1386" s="8"/>
      <c r="ID1386" s="8"/>
      <c r="IE1386" s="8"/>
      <c r="IF1386" s="8"/>
    </row>
    <row r="1387" spans="1:240">
      <c r="A1387" s="14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8"/>
      <c r="BS1387" s="8"/>
      <c r="BT1387" s="8"/>
      <c r="BU1387" s="8"/>
      <c r="BV1387" s="8"/>
      <c r="BW1387" s="8"/>
      <c r="BX1387" s="8"/>
      <c r="BY1387" s="8"/>
      <c r="BZ1387" s="8"/>
      <c r="CA1387" s="8"/>
      <c r="CB1387" s="8"/>
      <c r="CC1387" s="8"/>
      <c r="CD1387" s="8"/>
      <c r="CE1387" s="8"/>
      <c r="CF1387" s="8"/>
      <c r="CG1387" s="8"/>
      <c r="CH1387" s="8"/>
      <c r="CI1387" s="8"/>
      <c r="CJ1387" s="8"/>
      <c r="CK1387" s="8"/>
      <c r="CL1387" s="8"/>
      <c r="CM1387" s="8"/>
      <c r="CN1387" s="8"/>
      <c r="CO1387" s="8"/>
      <c r="CP1387" s="8"/>
      <c r="CQ1387" s="8"/>
      <c r="CR1387" s="8"/>
      <c r="CS1387" s="8"/>
      <c r="CT1387" s="8"/>
      <c r="CU1387" s="8"/>
      <c r="CV1387" s="8"/>
      <c r="CW1387" s="8"/>
      <c r="CX1387" s="8"/>
      <c r="CY1387" s="8"/>
      <c r="CZ1387" s="8"/>
      <c r="DA1387" s="8"/>
      <c r="DB1387" s="8"/>
      <c r="DC1387" s="8"/>
      <c r="DD1387" s="8"/>
      <c r="DE1387" s="8"/>
      <c r="DF1387" s="8"/>
      <c r="DG1387" s="8"/>
      <c r="DH1387" s="8"/>
      <c r="DI1387" s="8"/>
      <c r="DJ1387" s="8"/>
      <c r="DK1387" s="8"/>
      <c r="DL1387" s="8"/>
      <c r="DM1387" s="8"/>
      <c r="DN1387" s="8"/>
      <c r="DO1387" s="8"/>
      <c r="DP1387" s="8"/>
      <c r="DQ1387" s="8"/>
      <c r="DR1387" s="8"/>
      <c r="DS1387" s="8"/>
      <c r="DT1387" s="8"/>
      <c r="DU1387" s="8"/>
      <c r="DV1387" s="8"/>
      <c r="DW1387" s="8"/>
      <c r="DX1387" s="8"/>
      <c r="DY1387" s="8"/>
      <c r="DZ1387" s="8"/>
      <c r="EA1387" s="8"/>
      <c r="EB1387" s="8"/>
      <c r="EC1387" s="8"/>
      <c r="ED1387" s="8"/>
      <c r="EE1387" s="8"/>
      <c r="EF1387" s="8"/>
      <c r="EG1387" s="8"/>
      <c r="EH1387" s="8"/>
      <c r="EI1387" s="8"/>
      <c r="EJ1387" s="8"/>
      <c r="EK1387" s="8"/>
      <c r="EL1387" s="8"/>
      <c r="EM1387" s="8"/>
      <c r="EN1387" s="8"/>
      <c r="EO1387" s="8"/>
      <c r="EP1387" s="8"/>
      <c r="EQ1387" s="8"/>
      <c r="ER1387" s="8"/>
      <c r="ES1387" s="8"/>
      <c r="ET1387" s="8"/>
      <c r="EU1387" s="8"/>
      <c r="EV1387" s="8"/>
      <c r="EW1387" s="8"/>
      <c r="EX1387" s="8"/>
      <c r="EY1387" s="8"/>
      <c r="EZ1387" s="8"/>
      <c r="FA1387" s="8"/>
      <c r="FB1387" s="8"/>
      <c r="FC1387" s="8"/>
      <c r="FD1387" s="8"/>
      <c r="FE1387" s="8"/>
      <c r="FF1387" s="8"/>
      <c r="FG1387" s="8"/>
      <c r="FH1387" s="8"/>
      <c r="FI1387" s="8"/>
      <c r="FJ1387" s="8"/>
      <c r="FK1387" s="8"/>
      <c r="FL1387" s="8"/>
      <c r="FM1387" s="8"/>
      <c r="FN1387" s="8"/>
      <c r="FO1387" s="8"/>
      <c r="FP1387" s="8"/>
      <c r="FQ1387" s="8"/>
      <c r="FR1387" s="8"/>
      <c r="FS1387" s="8"/>
      <c r="FT1387" s="8"/>
      <c r="FU1387" s="8"/>
      <c r="FV1387" s="8"/>
      <c r="FW1387" s="8"/>
      <c r="FX1387" s="8"/>
      <c r="FY1387" s="8"/>
      <c r="FZ1387" s="8"/>
      <c r="GA1387" s="8"/>
      <c r="GB1387" s="8"/>
      <c r="GC1387" s="8"/>
      <c r="GD1387" s="8"/>
      <c r="GE1387" s="8"/>
      <c r="GF1387" s="8"/>
      <c r="GG1387" s="8"/>
      <c r="GH1387" s="8"/>
      <c r="GI1387" s="8"/>
      <c r="GJ1387" s="8"/>
      <c r="GK1387" s="8"/>
      <c r="GL1387" s="8"/>
      <c r="GM1387" s="8"/>
      <c r="GN1387" s="8"/>
      <c r="GO1387" s="8"/>
      <c r="GP1387" s="8"/>
      <c r="GQ1387" s="8"/>
      <c r="GR1387" s="8"/>
      <c r="GS1387" s="8"/>
      <c r="GT1387" s="8"/>
      <c r="GU1387" s="8"/>
      <c r="GV1387" s="8"/>
      <c r="GW1387" s="8"/>
      <c r="GX1387" s="8"/>
      <c r="GY1387" s="8"/>
      <c r="GZ1387" s="8"/>
      <c r="HA1387" s="8"/>
      <c r="HB1387" s="8"/>
      <c r="HC1387" s="8"/>
      <c r="HD1387" s="8"/>
      <c r="HE1387" s="8"/>
      <c r="HF1387" s="8"/>
      <c r="HG1387" s="8"/>
      <c r="HH1387" s="8"/>
      <c r="HI1387" s="8"/>
      <c r="HJ1387" s="8"/>
      <c r="HK1387" s="8"/>
      <c r="HL1387" s="8"/>
      <c r="HM1387" s="8"/>
      <c r="HN1387" s="8"/>
      <c r="HO1387" s="8"/>
      <c r="HP1387" s="8"/>
      <c r="HQ1387" s="8"/>
      <c r="HR1387" s="8"/>
      <c r="HS1387" s="8"/>
      <c r="HT1387" s="8"/>
      <c r="HU1387" s="8"/>
      <c r="HV1387" s="8"/>
      <c r="HW1387" s="8"/>
      <c r="HX1387" s="8"/>
      <c r="HY1387" s="8"/>
      <c r="HZ1387" s="8"/>
      <c r="IA1387" s="8"/>
      <c r="IB1387" s="8"/>
      <c r="IC1387" s="8"/>
      <c r="ID1387" s="8"/>
      <c r="IE1387" s="8"/>
      <c r="IF1387" s="8"/>
    </row>
    <row r="1388" spans="1:240">
      <c r="A1388" s="14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8"/>
      <c r="AP1388" s="8"/>
      <c r="AQ1388" s="8"/>
      <c r="AR1388" s="8"/>
      <c r="AS1388" s="8"/>
      <c r="AT1388" s="8"/>
      <c r="AU1388" s="8"/>
      <c r="AV1388" s="8"/>
      <c r="AW1388" s="8"/>
      <c r="AX1388" s="8"/>
      <c r="AY1388" s="8"/>
      <c r="AZ1388" s="8"/>
      <c r="BA1388" s="8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8"/>
      <c r="BS1388" s="8"/>
      <c r="BT1388" s="8"/>
      <c r="BU1388" s="8"/>
      <c r="BV1388" s="8"/>
      <c r="BW1388" s="8"/>
      <c r="BX1388" s="8"/>
      <c r="BY1388" s="8"/>
      <c r="BZ1388" s="8"/>
      <c r="CA1388" s="8"/>
      <c r="CB1388" s="8"/>
      <c r="CC1388" s="8"/>
      <c r="CD1388" s="8"/>
      <c r="CE1388" s="8"/>
      <c r="CF1388" s="8"/>
      <c r="CG1388" s="8"/>
      <c r="CH1388" s="8"/>
      <c r="CI1388" s="8"/>
      <c r="CJ1388" s="8"/>
      <c r="CK1388" s="8"/>
      <c r="CL1388" s="8"/>
      <c r="CM1388" s="8"/>
      <c r="CN1388" s="8"/>
      <c r="CO1388" s="8"/>
      <c r="CP1388" s="8"/>
      <c r="CQ1388" s="8"/>
      <c r="CR1388" s="8"/>
      <c r="CS1388" s="8"/>
      <c r="CT1388" s="8"/>
      <c r="CU1388" s="8"/>
      <c r="CV1388" s="8"/>
      <c r="CW1388" s="8"/>
      <c r="CX1388" s="8"/>
      <c r="CY1388" s="8"/>
      <c r="CZ1388" s="8"/>
      <c r="DA1388" s="8"/>
      <c r="DB1388" s="8"/>
      <c r="DC1388" s="8"/>
      <c r="DD1388" s="8"/>
      <c r="DE1388" s="8"/>
      <c r="DF1388" s="8"/>
      <c r="DG1388" s="8"/>
      <c r="DH1388" s="8"/>
      <c r="DI1388" s="8"/>
      <c r="DJ1388" s="8"/>
      <c r="DK1388" s="8"/>
      <c r="DL1388" s="8"/>
      <c r="DM1388" s="8"/>
      <c r="DN1388" s="8"/>
      <c r="DO1388" s="8"/>
      <c r="DP1388" s="8"/>
      <c r="DQ1388" s="8"/>
      <c r="DR1388" s="8"/>
      <c r="DS1388" s="8"/>
      <c r="DT1388" s="8"/>
      <c r="DU1388" s="8"/>
      <c r="DV1388" s="8"/>
      <c r="DW1388" s="8"/>
      <c r="DX1388" s="8"/>
      <c r="DY1388" s="8"/>
      <c r="DZ1388" s="8"/>
      <c r="EA1388" s="8"/>
      <c r="EB1388" s="8"/>
      <c r="EC1388" s="8"/>
      <c r="ED1388" s="8"/>
      <c r="EE1388" s="8"/>
      <c r="EF1388" s="8"/>
      <c r="EG1388" s="8"/>
      <c r="EH1388" s="8"/>
      <c r="EI1388" s="8"/>
      <c r="EJ1388" s="8"/>
      <c r="EK1388" s="8"/>
      <c r="EL1388" s="8"/>
      <c r="EM1388" s="8"/>
      <c r="EN1388" s="8"/>
      <c r="EO1388" s="8"/>
      <c r="EP1388" s="8"/>
      <c r="EQ1388" s="8"/>
      <c r="ER1388" s="8"/>
      <c r="ES1388" s="8"/>
      <c r="ET1388" s="8"/>
      <c r="EU1388" s="8"/>
      <c r="EV1388" s="8"/>
      <c r="EW1388" s="8"/>
      <c r="EX1388" s="8"/>
      <c r="EY1388" s="8"/>
      <c r="EZ1388" s="8"/>
      <c r="FA1388" s="8"/>
      <c r="FB1388" s="8"/>
      <c r="FC1388" s="8"/>
      <c r="FD1388" s="8"/>
      <c r="FE1388" s="8"/>
      <c r="FF1388" s="8"/>
      <c r="FG1388" s="8"/>
      <c r="FH1388" s="8"/>
      <c r="FI1388" s="8"/>
      <c r="FJ1388" s="8"/>
      <c r="FK1388" s="8"/>
      <c r="FL1388" s="8"/>
      <c r="FM1388" s="8"/>
      <c r="FN1388" s="8"/>
      <c r="FO1388" s="8"/>
      <c r="FP1388" s="8"/>
      <c r="FQ1388" s="8"/>
      <c r="FR1388" s="8"/>
      <c r="FS1388" s="8"/>
      <c r="FT1388" s="8"/>
      <c r="FU1388" s="8"/>
      <c r="FV1388" s="8"/>
      <c r="FW1388" s="8"/>
      <c r="FX1388" s="8"/>
      <c r="FY1388" s="8"/>
      <c r="FZ1388" s="8"/>
      <c r="GA1388" s="8"/>
      <c r="GB1388" s="8"/>
      <c r="GC1388" s="8"/>
      <c r="GD1388" s="8"/>
      <c r="GE1388" s="8"/>
      <c r="GF1388" s="8"/>
      <c r="GG1388" s="8"/>
      <c r="GH1388" s="8"/>
      <c r="GI1388" s="8"/>
      <c r="GJ1388" s="8"/>
      <c r="GK1388" s="8"/>
      <c r="GL1388" s="8"/>
      <c r="GM1388" s="8"/>
      <c r="GN1388" s="8"/>
      <c r="GO1388" s="8"/>
      <c r="GP1388" s="8"/>
      <c r="GQ1388" s="8"/>
      <c r="GR1388" s="8"/>
      <c r="GS1388" s="8"/>
      <c r="GT1388" s="8"/>
      <c r="GU1388" s="8"/>
      <c r="GV1388" s="8"/>
      <c r="GW1388" s="8"/>
      <c r="GX1388" s="8"/>
      <c r="GY1388" s="8"/>
      <c r="GZ1388" s="8"/>
      <c r="HA1388" s="8"/>
      <c r="HB1388" s="8"/>
      <c r="HC1388" s="8"/>
      <c r="HD1388" s="8"/>
      <c r="HE1388" s="8"/>
      <c r="HF1388" s="8"/>
      <c r="HG1388" s="8"/>
      <c r="HH1388" s="8"/>
      <c r="HI1388" s="8"/>
      <c r="HJ1388" s="8"/>
      <c r="HK1388" s="8"/>
      <c r="HL1388" s="8"/>
      <c r="HM1388" s="8"/>
      <c r="HN1388" s="8"/>
      <c r="HO1388" s="8"/>
      <c r="HP1388" s="8"/>
      <c r="HQ1388" s="8"/>
      <c r="HR1388" s="8"/>
      <c r="HS1388" s="8"/>
      <c r="HT1388" s="8"/>
      <c r="HU1388" s="8"/>
      <c r="HV1388" s="8"/>
      <c r="HW1388" s="8"/>
      <c r="HX1388" s="8"/>
      <c r="HY1388" s="8"/>
      <c r="HZ1388" s="8"/>
      <c r="IA1388" s="8"/>
      <c r="IB1388" s="8"/>
      <c r="IC1388" s="8"/>
      <c r="ID1388" s="8"/>
      <c r="IE1388" s="8"/>
      <c r="IF1388" s="8"/>
    </row>
    <row r="1389" spans="1:240">
      <c r="A1389" s="14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8"/>
      <c r="AP1389" s="8"/>
      <c r="AQ1389" s="8"/>
      <c r="AR1389" s="8"/>
      <c r="AS1389" s="8"/>
      <c r="AT1389" s="8"/>
      <c r="AU1389" s="8"/>
      <c r="AV1389" s="8"/>
      <c r="AW1389" s="8"/>
      <c r="AX1389" s="8"/>
      <c r="AY1389" s="8"/>
      <c r="AZ1389" s="8"/>
      <c r="BA1389" s="8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8"/>
      <c r="BS1389" s="8"/>
      <c r="BT1389" s="8"/>
      <c r="BU1389" s="8"/>
      <c r="BV1389" s="8"/>
      <c r="BW1389" s="8"/>
      <c r="BX1389" s="8"/>
      <c r="BY1389" s="8"/>
      <c r="BZ1389" s="8"/>
      <c r="CA1389" s="8"/>
      <c r="CB1389" s="8"/>
      <c r="CC1389" s="8"/>
      <c r="CD1389" s="8"/>
      <c r="CE1389" s="8"/>
      <c r="CF1389" s="8"/>
      <c r="CG1389" s="8"/>
      <c r="CH1389" s="8"/>
      <c r="CI1389" s="8"/>
      <c r="CJ1389" s="8"/>
      <c r="CK1389" s="8"/>
      <c r="CL1389" s="8"/>
      <c r="CM1389" s="8"/>
      <c r="CN1389" s="8"/>
      <c r="CO1389" s="8"/>
      <c r="CP1389" s="8"/>
      <c r="CQ1389" s="8"/>
      <c r="CR1389" s="8"/>
      <c r="CS1389" s="8"/>
      <c r="CT1389" s="8"/>
      <c r="CU1389" s="8"/>
      <c r="CV1389" s="8"/>
      <c r="CW1389" s="8"/>
      <c r="CX1389" s="8"/>
      <c r="CY1389" s="8"/>
      <c r="CZ1389" s="8"/>
      <c r="DA1389" s="8"/>
      <c r="DB1389" s="8"/>
      <c r="DC1389" s="8"/>
      <c r="DD1389" s="8"/>
      <c r="DE1389" s="8"/>
      <c r="DF1389" s="8"/>
      <c r="DG1389" s="8"/>
      <c r="DH1389" s="8"/>
      <c r="DI1389" s="8"/>
      <c r="DJ1389" s="8"/>
      <c r="DK1389" s="8"/>
      <c r="DL1389" s="8"/>
      <c r="DM1389" s="8"/>
      <c r="DN1389" s="8"/>
      <c r="DO1389" s="8"/>
      <c r="DP1389" s="8"/>
      <c r="DQ1389" s="8"/>
      <c r="DR1389" s="8"/>
      <c r="DS1389" s="8"/>
      <c r="DT1389" s="8"/>
      <c r="DU1389" s="8"/>
      <c r="DV1389" s="8"/>
      <c r="DW1389" s="8"/>
      <c r="DX1389" s="8"/>
      <c r="DY1389" s="8"/>
      <c r="DZ1389" s="8"/>
      <c r="EA1389" s="8"/>
      <c r="EB1389" s="8"/>
      <c r="EC1389" s="8"/>
      <c r="ED1389" s="8"/>
      <c r="EE1389" s="8"/>
      <c r="EF1389" s="8"/>
      <c r="EG1389" s="8"/>
      <c r="EH1389" s="8"/>
      <c r="EI1389" s="8"/>
      <c r="EJ1389" s="8"/>
      <c r="EK1389" s="8"/>
      <c r="EL1389" s="8"/>
      <c r="EM1389" s="8"/>
      <c r="EN1389" s="8"/>
      <c r="EO1389" s="8"/>
      <c r="EP1389" s="8"/>
      <c r="EQ1389" s="8"/>
      <c r="ER1389" s="8"/>
      <c r="ES1389" s="8"/>
      <c r="ET1389" s="8"/>
      <c r="EU1389" s="8"/>
      <c r="EV1389" s="8"/>
      <c r="EW1389" s="8"/>
      <c r="EX1389" s="8"/>
      <c r="EY1389" s="8"/>
      <c r="EZ1389" s="8"/>
      <c r="FA1389" s="8"/>
      <c r="FB1389" s="8"/>
      <c r="FC1389" s="8"/>
      <c r="FD1389" s="8"/>
      <c r="FE1389" s="8"/>
      <c r="FF1389" s="8"/>
      <c r="FG1389" s="8"/>
      <c r="FH1389" s="8"/>
      <c r="FI1389" s="8"/>
      <c r="FJ1389" s="8"/>
      <c r="FK1389" s="8"/>
      <c r="FL1389" s="8"/>
      <c r="FM1389" s="8"/>
      <c r="FN1389" s="8"/>
      <c r="FO1389" s="8"/>
      <c r="FP1389" s="8"/>
      <c r="FQ1389" s="8"/>
      <c r="FR1389" s="8"/>
      <c r="FS1389" s="8"/>
      <c r="FT1389" s="8"/>
      <c r="FU1389" s="8"/>
      <c r="FV1389" s="8"/>
      <c r="FW1389" s="8"/>
      <c r="FX1389" s="8"/>
      <c r="FY1389" s="8"/>
      <c r="FZ1389" s="8"/>
      <c r="GA1389" s="8"/>
      <c r="GB1389" s="8"/>
      <c r="GC1389" s="8"/>
      <c r="GD1389" s="8"/>
      <c r="GE1389" s="8"/>
      <c r="GF1389" s="8"/>
      <c r="GG1389" s="8"/>
      <c r="GH1389" s="8"/>
      <c r="GI1389" s="8"/>
      <c r="GJ1389" s="8"/>
      <c r="GK1389" s="8"/>
      <c r="GL1389" s="8"/>
      <c r="GM1389" s="8"/>
      <c r="GN1389" s="8"/>
      <c r="GO1389" s="8"/>
      <c r="GP1389" s="8"/>
      <c r="GQ1389" s="8"/>
      <c r="GR1389" s="8"/>
      <c r="GS1389" s="8"/>
      <c r="GT1389" s="8"/>
      <c r="GU1389" s="8"/>
      <c r="GV1389" s="8"/>
      <c r="GW1389" s="8"/>
      <c r="GX1389" s="8"/>
      <c r="GY1389" s="8"/>
      <c r="GZ1389" s="8"/>
      <c r="HA1389" s="8"/>
      <c r="HB1389" s="8"/>
      <c r="HC1389" s="8"/>
      <c r="HD1389" s="8"/>
      <c r="HE1389" s="8"/>
      <c r="HF1389" s="8"/>
      <c r="HG1389" s="8"/>
      <c r="HH1389" s="8"/>
      <c r="HI1389" s="8"/>
      <c r="HJ1389" s="8"/>
      <c r="HK1389" s="8"/>
      <c r="HL1389" s="8"/>
      <c r="HM1389" s="8"/>
      <c r="HN1389" s="8"/>
      <c r="HO1389" s="8"/>
      <c r="HP1389" s="8"/>
      <c r="HQ1389" s="8"/>
      <c r="HR1389" s="8"/>
      <c r="HS1389" s="8"/>
      <c r="HT1389" s="8"/>
      <c r="HU1389" s="8"/>
      <c r="HV1389" s="8"/>
      <c r="HW1389" s="8"/>
      <c r="HX1389" s="8"/>
      <c r="HY1389" s="8"/>
      <c r="HZ1389" s="8"/>
      <c r="IA1389" s="8"/>
      <c r="IB1389" s="8"/>
      <c r="IC1389" s="8"/>
      <c r="ID1389" s="8"/>
      <c r="IE1389" s="8"/>
      <c r="IF1389" s="8"/>
    </row>
    <row r="1390" spans="1:240">
      <c r="A1390" s="14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8"/>
      <c r="AP1390" s="8"/>
      <c r="AQ1390" s="8"/>
      <c r="AR1390" s="8"/>
      <c r="AS1390" s="8"/>
      <c r="AT1390" s="8"/>
      <c r="AU1390" s="8"/>
      <c r="AV1390" s="8"/>
      <c r="AW1390" s="8"/>
      <c r="AX1390" s="8"/>
      <c r="AY1390" s="8"/>
      <c r="AZ1390" s="8"/>
      <c r="BA1390" s="8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8"/>
      <c r="BS1390" s="8"/>
      <c r="BT1390" s="8"/>
      <c r="BU1390" s="8"/>
      <c r="BV1390" s="8"/>
      <c r="BW1390" s="8"/>
      <c r="BX1390" s="8"/>
      <c r="BY1390" s="8"/>
      <c r="BZ1390" s="8"/>
      <c r="CA1390" s="8"/>
      <c r="CB1390" s="8"/>
      <c r="CC1390" s="8"/>
      <c r="CD1390" s="8"/>
      <c r="CE1390" s="8"/>
      <c r="CF1390" s="8"/>
      <c r="CG1390" s="8"/>
      <c r="CH1390" s="8"/>
      <c r="CI1390" s="8"/>
      <c r="CJ1390" s="8"/>
      <c r="CK1390" s="8"/>
      <c r="CL1390" s="8"/>
      <c r="CM1390" s="8"/>
      <c r="CN1390" s="8"/>
      <c r="CO1390" s="8"/>
      <c r="CP1390" s="8"/>
      <c r="CQ1390" s="8"/>
      <c r="CR1390" s="8"/>
      <c r="CS1390" s="8"/>
      <c r="CT1390" s="8"/>
      <c r="CU1390" s="8"/>
      <c r="CV1390" s="8"/>
      <c r="CW1390" s="8"/>
      <c r="CX1390" s="8"/>
      <c r="CY1390" s="8"/>
      <c r="CZ1390" s="8"/>
      <c r="DA1390" s="8"/>
      <c r="DB1390" s="8"/>
      <c r="DC1390" s="8"/>
      <c r="DD1390" s="8"/>
      <c r="DE1390" s="8"/>
      <c r="DF1390" s="8"/>
      <c r="DG1390" s="8"/>
      <c r="DH1390" s="8"/>
      <c r="DI1390" s="8"/>
      <c r="DJ1390" s="8"/>
      <c r="DK1390" s="8"/>
      <c r="DL1390" s="8"/>
      <c r="DM1390" s="8"/>
      <c r="DN1390" s="8"/>
      <c r="DO1390" s="8"/>
      <c r="DP1390" s="8"/>
      <c r="DQ1390" s="8"/>
      <c r="DR1390" s="8"/>
      <c r="DS1390" s="8"/>
      <c r="DT1390" s="8"/>
      <c r="DU1390" s="8"/>
      <c r="DV1390" s="8"/>
      <c r="DW1390" s="8"/>
      <c r="DX1390" s="8"/>
      <c r="DY1390" s="8"/>
      <c r="DZ1390" s="8"/>
      <c r="EA1390" s="8"/>
      <c r="EB1390" s="8"/>
      <c r="EC1390" s="8"/>
      <c r="ED1390" s="8"/>
      <c r="EE1390" s="8"/>
      <c r="EF1390" s="8"/>
      <c r="EG1390" s="8"/>
      <c r="EH1390" s="8"/>
      <c r="EI1390" s="8"/>
      <c r="EJ1390" s="8"/>
      <c r="EK1390" s="8"/>
      <c r="EL1390" s="8"/>
      <c r="EM1390" s="8"/>
      <c r="EN1390" s="8"/>
      <c r="EO1390" s="8"/>
      <c r="EP1390" s="8"/>
      <c r="EQ1390" s="8"/>
      <c r="ER1390" s="8"/>
      <c r="ES1390" s="8"/>
      <c r="ET1390" s="8"/>
      <c r="EU1390" s="8"/>
      <c r="EV1390" s="8"/>
      <c r="EW1390" s="8"/>
      <c r="EX1390" s="8"/>
      <c r="EY1390" s="8"/>
      <c r="EZ1390" s="8"/>
      <c r="FA1390" s="8"/>
      <c r="FB1390" s="8"/>
      <c r="FC1390" s="8"/>
      <c r="FD1390" s="8"/>
      <c r="FE1390" s="8"/>
      <c r="FF1390" s="8"/>
      <c r="FG1390" s="8"/>
      <c r="FH1390" s="8"/>
      <c r="FI1390" s="8"/>
      <c r="FJ1390" s="8"/>
      <c r="FK1390" s="8"/>
      <c r="FL1390" s="8"/>
      <c r="FM1390" s="8"/>
      <c r="FN1390" s="8"/>
      <c r="FO1390" s="8"/>
      <c r="FP1390" s="8"/>
      <c r="FQ1390" s="8"/>
      <c r="FR1390" s="8"/>
      <c r="FS1390" s="8"/>
      <c r="FT1390" s="8"/>
      <c r="FU1390" s="8"/>
      <c r="FV1390" s="8"/>
      <c r="FW1390" s="8"/>
      <c r="FX1390" s="8"/>
      <c r="FY1390" s="8"/>
      <c r="FZ1390" s="8"/>
      <c r="GA1390" s="8"/>
      <c r="GB1390" s="8"/>
      <c r="GC1390" s="8"/>
      <c r="GD1390" s="8"/>
      <c r="GE1390" s="8"/>
      <c r="GF1390" s="8"/>
      <c r="GG1390" s="8"/>
      <c r="GH1390" s="8"/>
      <c r="GI1390" s="8"/>
      <c r="GJ1390" s="8"/>
      <c r="GK1390" s="8"/>
      <c r="GL1390" s="8"/>
      <c r="GM1390" s="8"/>
      <c r="GN1390" s="8"/>
      <c r="GO1390" s="8"/>
      <c r="GP1390" s="8"/>
      <c r="GQ1390" s="8"/>
      <c r="GR1390" s="8"/>
      <c r="GS1390" s="8"/>
      <c r="GT1390" s="8"/>
      <c r="GU1390" s="8"/>
      <c r="GV1390" s="8"/>
      <c r="GW1390" s="8"/>
      <c r="GX1390" s="8"/>
      <c r="GY1390" s="8"/>
      <c r="GZ1390" s="8"/>
      <c r="HA1390" s="8"/>
      <c r="HB1390" s="8"/>
      <c r="HC1390" s="8"/>
      <c r="HD1390" s="8"/>
      <c r="HE1390" s="8"/>
      <c r="HF1390" s="8"/>
      <c r="HG1390" s="8"/>
      <c r="HH1390" s="8"/>
      <c r="HI1390" s="8"/>
      <c r="HJ1390" s="8"/>
      <c r="HK1390" s="8"/>
      <c r="HL1390" s="8"/>
      <c r="HM1390" s="8"/>
      <c r="HN1390" s="8"/>
      <c r="HO1390" s="8"/>
      <c r="HP1390" s="8"/>
      <c r="HQ1390" s="8"/>
      <c r="HR1390" s="8"/>
      <c r="HS1390" s="8"/>
      <c r="HT1390" s="8"/>
      <c r="HU1390" s="8"/>
      <c r="HV1390" s="8"/>
      <c r="HW1390" s="8"/>
      <c r="HX1390" s="8"/>
      <c r="HY1390" s="8"/>
      <c r="HZ1390" s="8"/>
      <c r="IA1390" s="8"/>
      <c r="IB1390" s="8"/>
      <c r="IC1390" s="8"/>
      <c r="ID1390" s="8"/>
      <c r="IE1390" s="8"/>
      <c r="IF1390" s="8"/>
    </row>
    <row r="1391" spans="1:240">
      <c r="A1391" s="14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8"/>
      <c r="AP1391" s="8"/>
      <c r="AQ1391" s="8"/>
      <c r="AR1391" s="8"/>
      <c r="AS1391" s="8"/>
      <c r="AT1391" s="8"/>
      <c r="AU1391" s="8"/>
      <c r="AV1391" s="8"/>
      <c r="AW1391" s="8"/>
      <c r="AX1391" s="8"/>
      <c r="AY1391" s="8"/>
      <c r="AZ1391" s="8"/>
      <c r="BA1391" s="8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8"/>
      <c r="BS1391" s="8"/>
      <c r="BT1391" s="8"/>
      <c r="BU1391" s="8"/>
      <c r="BV1391" s="8"/>
      <c r="BW1391" s="8"/>
      <c r="BX1391" s="8"/>
      <c r="BY1391" s="8"/>
      <c r="BZ1391" s="8"/>
      <c r="CA1391" s="8"/>
      <c r="CB1391" s="8"/>
      <c r="CC1391" s="8"/>
      <c r="CD1391" s="8"/>
      <c r="CE1391" s="8"/>
      <c r="CF1391" s="8"/>
      <c r="CG1391" s="8"/>
      <c r="CH1391" s="8"/>
      <c r="CI1391" s="8"/>
      <c r="CJ1391" s="8"/>
      <c r="CK1391" s="8"/>
      <c r="CL1391" s="8"/>
      <c r="CM1391" s="8"/>
      <c r="CN1391" s="8"/>
      <c r="CO1391" s="8"/>
      <c r="CP1391" s="8"/>
      <c r="CQ1391" s="8"/>
      <c r="CR1391" s="8"/>
      <c r="CS1391" s="8"/>
      <c r="CT1391" s="8"/>
      <c r="CU1391" s="8"/>
      <c r="CV1391" s="8"/>
      <c r="CW1391" s="8"/>
      <c r="CX1391" s="8"/>
      <c r="CY1391" s="8"/>
      <c r="CZ1391" s="8"/>
      <c r="DA1391" s="8"/>
      <c r="DB1391" s="8"/>
      <c r="DC1391" s="8"/>
      <c r="DD1391" s="8"/>
      <c r="DE1391" s="8"/>
      <c r="DF1391" s="8"/>
      <c r="DG1391" s="8"/>
      <c r="DH1391" s="8"/>
      <c r="DI1391" s="8"/>
      <c r="DJ1391" s="8"/>
      <c r="DK1391" s="8"/>
      <c r="DL1391" s="8"/>
      <c r="DM1391" s="8"/>
      <c r="DN1391" s="8"/>
      <c r="DO1391" s="8"/>
      <c r="DP1391" s="8"/>
      <c r="DQ1391" s="8"/>
      <c r="DR1391" s="8"/>
      <c r="DS1391" s="8"/>
      <c r="DT1391" s="8"/>
      <c r="DU1391" s="8"/>
      <c r="DV1391" s="8"/>
      <c r="DW1391" s="8"/>
      <c r="DX1391" s="8"/>
      <c r="DY1391" s="8"/>
      <c r="DZ1391" s="8"/>
      <c r="EA1391" s="8"/>
      <c r="EB1391" s="8"/>
      <c r="EC1391" s="8"/>
      <c r="ED1391" s="8"/>
      <c r="EE1391" s="8"/>
      <c r="EF1391" s="8"/>
      <c r="EG1391" s="8"/>
      <c r="EH1391" s="8"/>
      <c r="EI1391" s="8"/>
      <c r="EJ1391" s="8"/>
      <c r="EK1391" s="8"/>
      <c r="EL1391" s="8"/>
      <c r="EM1391" s="8"/>
      <c r="EN1391" s="8"/>
      <c r="EO1391" s="8"/>
      <c r="EP1391" s="8"/>
      <c r="EQ1391" s="8"/>
      <c r="ER1391" s="8"/>
      <c r="ES1391" s="8"/>
      <c r="ET1391" s="8"/>
      <c r="EU1391" s="8"/>
      <c r="EV1391" s="8"/>
      <c r="EW1391" s="8"/>
      <c r="EX1391" s="8"/>
      <c r="EY1391" s="8"/>
      <c r="EZ1391" s="8"/>
      <c r="FA1391" s="8"/>
      <c r="FB1391" s="8"/>
      <c r="FC1391" s="8"/>
      <c r="FD1391" s="8"/>
      <c r="FE1391" s="8"/>
      <c r="FF1391" s="8"/>
      <c r="FG1391" s="8"/>
      <c r="FH1391" s="8"/>
      <c r="FI1391" s="8"/>
      <c r="FJ1391" s="8"/>
      <c r="FK1391" s="8"/>
      <c r="FL1391" s="8"/>
      <c r="FM1391" s="8"/>
      <c r="FN1391" s="8"/>
      <c r="FO1391" s="8"/>
      <c r="FP1391" s="8"/>
      <c r="FQ1391" s="8"/>
      <c r="FR1391" s="8"/>
      <c r="FS1391" s="8"/>
      <c r="FT1391" s="8"/>
      <c r="FU1391" s="8"/>
      <c r="FV1391" s="8"/>
      <c r="FW1391" s="8"/>
      <c r="FX1391" s="8"/>
      <c r="FY1391" s="8"/>
      <c r="FZ1391" s="8"/>
      <c r="GA1391" s="8"/>
      <c r="GB1391" s="8"/>
      <c r="GC1391" s="8"/>
      <c r="GD1391" s="8"/>
      <c r="GE1391" s="8"/>
      <c r="GF1391" s="8"/>
      <c r="GG1391" s="8"/>
      <c r="GH1391" s="8"/>
      <c r="GI1391" s="8"/>
      <c r="GJ1391" s="8"/>
      <c r="GK1391" s="8"/>
      <c r="GL1391" s="8"/>
      <c r="GM1391" s="8"/>
      <c r="GN1391" s="8"/>
      <c r="GO1391" s="8"/>
      <c r="GP1391" s="8"/>
      <c r="GQ1391" s="8"/>
      <c r="GR1391" s="8"/>
      <c r="GS1391" s="8"/>
      <c r="GT1391" s="8"/>
      <c r="GU1391" s="8"/>
      <c r="GV1391" s="8"/>
      <c r="GW1391" s="8"/>
      <c r="GX1391" s="8"/>
      <c r="GY1391" s="8"/>
      <c r="GZ1391" s="8"/>
      <c r="HA1391" s="8"/>
      <c r="HB1391" s="8"/>
      <c r="HC1391" s="8"/>
      <c r="HD1391" s="8"/>
      <c r="HE1391" s="8"/>
      <c r="HF1391" s="8"/>
      <c r="HG1391" s="8"/>
      <c r="HH1391" s="8"/>
      <c r="HI1391" s="8"/>
      <c r="HJ1391" s="8"/>
      <c r="HK1391" s="8"/>
      <c r="HL1391" s="8"/>
      <c r="HM1391" s="8"/>
      <c r="HN1391" s="8"/>
      <c r="HO1391" s="8"/>
      <c r="HP1391" s="8"/>
      <c r="HQ1391" s="8"/>
      <c r="HR1391" s="8"/>
      <c r="HS1391" s="8"/>
      <c r="HT1391" s="8"/>
      <c r="HU1391" s="8"/>
      <c r="HV1391" s="8"/>
      <c r="HW1391" s="8"/>
      <c r="HX1391" s="8"/>
      <c r="HY1391" s="8"/>
      <c r="HZ1391" s="8"/>
      <c r="IA1391" s="8"/>
      <c r="IB1391" s="8"/>
      <c r="IC1391" s="8"/>
      <c r="ID1391" s="8"/>
      <c r="IE1391" s="8"/>
      <c r="IF1391" s="8"/>
    </row>
    <row r="1392" spans="1:240">
      <c r="A1392" s="14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8"/>
      <c r="AP1392" s="8"/>
      <c r="AQ1392" s="8"/>
      <c r="AR1392" s="8"/>
      <c r="AS1392" s="8"/>
      <c r="AT1392" s="8"/>
      <c r="AU1392" s="8"/>
      <c r="AV1392" s="8"/>
      <c r="AW1392" s="8"/>
      <c r="AX1392" s="8"/>
      <c r="AY1392" s="8"/>
      <c r="AZ1392" s="8"/>
      <c r="BA1392" s="8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8"/>
      <c r="BS1392" s="8"/>
      <c r="BT1392" s="8"/>
      <c r="BU1392" s="8"/>
      <c r="BV1392" s="8"/>
      <c r="BW1392" s="8"/>
      <c r="BX1392" s="8"/>
      <c r="BY1392" s="8"/>
      <c r="BZ1392" s="8"/>
      <c r="CA1392" s="8"/>
      <c r="CB1392" s="8"/>
      <c r="CC1392" s="8"/>
      <c r="CD1392" s="8"/>
      <c r="CE1392" s="8"/>
      <c r="CF1392" s="8"/>
      <c r="CG1392" s="8"/>
      <c r="CH1392" s="8"/>
      <c r="CI1392" s="8"/>
      <c r="CJ1392" s="8"/>
      <c r="CK1392" s="8"/>
      <c r="CL1392" s="8"/>
      <c r="CM1392" s="8"/>
      <c r="CN1392" s="8"/>
      <c r="CO1392" s="8"/>
      <c r="CP1392" s="8"/>
      <c r="CQ1392" s="8"/>
      <c r="CR1392" s="8"/>
      <c r="CS1392" s="8"/>
      <c r="CT1392" s="8"/>
      <c r="CU1392" s="8"/>
      <c r="CV1392" s="8"/>
      <c r="CW1392" s="8"/>
      <c r="CX1392" s="8"/>
      <c r="CY1392" s="8"/>
      <c r="CZ1392" s="8"/>
      <c r="DA1392" s="8"/>
      <c r="DB1392" s="8"/>
      <c r="DC1392" s="8"/>
      <c r="DD1392" s="8"/>
      <c r="DE1392" s="8"/>
      <c r="DF1392" s="8"/>
      <c r="DG1392" s="8"/>
      <c r="DH1392" s="8"/>
      <c r="DI1392" s="8"/>
      <c r="DJ1392" s="8"/>
      <c r="DK1392" s="8"/>
      <c r="DL1392" s="8"/>
      <c r="DM1392" s="8"/>
      <c r="DN1392" s="8"/>
      <c r="DO1392" s="8"/>
      <c r="DP1392" s="8"/>
      <c r="DQ1392" s="8"/>
      <c r="DR1392" s="8"/>
      <c r="DS1392" s="8"/>
      <c r="DT1392" s="8"/>
      <c r="DU1392" s="8"/>
      <c r="DV1392" s="8"/>
      <c r="DW1392" s="8"/>
      <c r="DX1392" s="8"/>
      <c r="DY1392" s="8"/>
      <c r="DZ1392" s="8"/>
      <c r="EA1392" s="8"/>
      <c r="EB1392" s="8"/>
      <c r="EC1392" s="8"/>
      <c r="ED1392" s="8"/>
      <c r="EE1392" s="8"/>
      <c r="EF1392" s="8"/>
      <c r="EG1392" s="8"/>
      <c r="EH1392" s="8"/>
      <c r="EI1392" s="8"/>
      <c r="EJ1392" s="8"/>
      <c r="EK1392" s="8"/>
      <c r="EL1392" s="8"/>
      <c r="EM1392" s="8"/>
      <c r="EN1392" s="8"/>
      <c r="EO1392" s="8"/>
      <c r="EP1392" s="8"/>
      <c r="EQ1392" s="8"/>
      <c r="ER1392" s="8"/>
      <c r="ES1392" s="8"/>
      <c r="ET1392" s="8"/>
      <c r="EU1392" s="8"/>
      <c r="EV1392" s="8"/>
      <c r="EW1392" s="8"/>
      <c r="EX1392" s="8"/>
      <c r="EY1392" s="8"/>
      <c r="EZ1392" s="8"/>
      <c r="FA1392" s="8"/>
      <c r="FB1392" s="8"/>
      <c r="FC1392" s="8"/>
      <c r="FD1392" s="8"/>
      <c r="FE1392" s="8"/>
      <c r="FF1392" s="8"/>
      <c r="FG1392" s="8"/>
      <c r="FH1392" s="8"/>
      <c r="FI1392" s="8"/>
      <c r="FJ1392" s="8"/>
      <c r="FK1392" s="8"/>
      <c r="FL1392" s="8"/>
      <c r="FM1392" s="8"/>
      <c r="FN1392" s="8"/>
      <c r="FO1392" s="8"/>
      <c r="FP1392" s="8"/>
      <c r="FQ1392" s="8"/>
      <c r="FR1392" s="8"/>
      <c r="FS1392" s="8"/>
      <c r="FT1392" s="8"/>
      <c r="FU1392" s="8"/>
      <c r="FV1392" s="8"/>
      <c r="FW1392" s="8"/>
      <c r="FX1392" s="8"/>
      <c r="FY1392" s="8"/>
      <c r="FZ1392" s="8"/>
      <c r="GA1392" s="8"/>
      <c r="GB1392" s="8"/>
      <c r="GC1392" s="8"/>
      <c r="GD1392" s="8"/>
      <c r="GE1392" s="8"/>
      <c r="GF1392" s="8"/>
      <c r="GG1392" s="8"/>
      <c r="GH1392" s="8"/>
      <c r="GI1392" s="8"/>
      <c r="GJ1392" s="8"/>
      <c r="GK1392" s="8"/>
      <c r="GL1392" s="8"/>
      <c r="GM1392" s="8"/>
      <c r="GN1392" s="8"/>
      <c r="GO1392" s="8"/>
      <c r="GP1392" s="8"/>
      <c r="GQ1392" s="8"/>
      <c r="GR1392" s="8"/>
      <c r="GS1392" s="8"/>
      <c r="GT1392" s="8"/>
      <c r="GU1392" s="8"/>
      <c r="GV1392" s="8"/>
      <c r="GW1392" s="8"/>
      <c r="GX1392" s="8"/>
      <c r="GY1392" s="8"/>
      <c r="GZ1392" s="8"/>
      <c r="HA1392" s="8"/>
      <c r="HB1392" s="8"/>
      <c r="HC1392" s="8"/>
      <c r="HD1392" s="8"/>
      <c r="HE1392" s="8"/>
      <c r="HF1392" s="8"/>
      <c r="HG1392" s="8"/>
      <c r="HH1392" s="8"/>
      <c r="HI1392" s="8"/>
      <c r="HJ1392" s="8"/>
      <c r="HK1392" s="8"/>
      <c r="HL1392" s="8"/>
      <c r="HM1392" s="8"/>
      <c r="HN1392" s="8"/>
      <c r="HO1392" s="8"/>
      <c r="HP1392" s="8"/>
      <c r="HQ1392" s="8"/>
      <c r="HR1392" s="8"/>
      <c r="HS1392" s="8"/>
      <c r="HT1392" s="8"/>
      <c r="HU1392" s="8"/>
      <c r="HV1392" s="8"/>
      <c r="HW1392" s="8"/>
      <c r="HX1392" s="8"/>
      <c r="HY1392" s="8"/>
      <c r="HZ1392" s="8"/>
      <c r="IA1392" s="8"/>
      <c r="IB1392" s="8"/>
      <c r="IC1392" s="8"/>
      <c r="ID1392" s="8"/>
      <c r="IE1392" s="8"/>
      <c r="IF1392" s="8"/>
    </row>
    <row r="1393" spans="1:240">
      <c r="A1393" s="14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8"/>
      <c r="AP1393" s="8"/>
      <c r="AQ1393" s="8"/>
      <c r="AR1393" s="8"/>
      <c r="AS1393" s="8"/>
      <c r="AT1393" s="8"/>
      <c r="AU1393" s="8"/>
      <c r="AV1393" s="8"/>
      <c r="AW1393" s="8"/>
      <c r="AX1393" s="8"/>
      <c r="AY1393" s="8"/>
      <c r="AZ1393" s="8"/>
      <c r="BA1393" s="8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8"/>
      <c r="BS1393" s="8"/>
      <c r="BT1393" s="8"/>
      <c r="BU1393" s="8"/>
      <c r="BV1393" s="8"/>
      <c r="BW1393" s="8"/>
      <c r="BX1393" s="8"/>
      <c r="BY1393" s="8"/>
      <c r="BZ1393" s="8"/>
      <c r="CA1393" s="8"/>
      <c r="CB1393" s="8"/>
      <c r="CC1393" s="8"/>
      <c r="CD1393" s="8"/>
      <c r="CE1393" s="8"/>
      <c r="CF1393" s="8"/>
      <c r="CG1393" s="8"/>
      <c r="CH1393" s="8"/>
      <c r="CI1393" s="8"/>
      <c r="CJ1393" s="8"/>
      <c r="CK1393" s="8"/>
      <c r="CL1393" s="8"/>
      <c r="CM1393" s="8"/>
      <c r="CN1393" s="8"/>
      <c r="CO1393" s="8"/>
      <c r="CP1393" s="8"/>
      <c r="CQ1393" s="8"/>
      <c r="CR1393" s="8"/>
      <c r="CS1393" s="8"/>
      <c r="CT1393" s="8"/>
      <c r="CU1393" s="8"/>
      <c r="CV1393" s="8"/>
      <c r="CW1393" s="8"/>
      <c r="CX1393" s="8"/>
      <c r="CY1393" s="8"/>
      <c r="CZ1393" s="8"/>
      <c r="DA1393" s="8"/>
      <c r="DB1393" s="8"/>
      <c r="DC1393" s="8"/>
      <c r="DD1393" s="8"/>
      <c r="DE1393" s="8"/>
      <c r="DF1393" s="8"/>
      <c r="DG1393" s="8"/>
      <c r="DH1393" s="8"/>
      <c r="DI1393" s="8"/>
      <c r="DJ1393" s="8"/>
      <c r="DK1393" s="8"/>
      <c r="DL1393" s="8"/>
      <c r="DM1393" s="8"/>
      <c r="DN1393" s="8"/>
      <c r="DO1393" s="8"/>
      <c r="DP1393" s="8"/>
      <c r="DQ1393" s="8"/>
      <c r="DR1393" s="8"/>
      <c r="DS1393" s="8"/>
      <c r="DT1393" s="8"/>
      <c r="DU1393" s="8"/>
      <c r="DV1393" s="8"/>
      <c r="DW1393" s="8"/>
      <c r="DX1393" s="8"/>
      <c r="DY1393" s="8"/>
      <c r="DZ1393" s="8"/>
      <c r="EA1393" s="8"/>
      <c r="EB1393" s="8"/>
      <c r="EC1393" s="8"/>
      <c r="ED1393" s="8"/>
      <c r="EE1393" s="8"/>
      <c r="EF1393" s="8"/>
      <c r="EG1393" s="8"/>
      <c r="EH1393" s="8"/>
      <c r="EI1393" s="8"/>
      <c r="EJ1393" s="8"/>
      <c r="EK1393" s="8"/>
      <c r="EL1393" s="8"/>
      <c r="EM1393" s="8"/>
      <c r="EN1393" s="8"/>
      <c r="EO1393" s="8"/>
      <c r="EP1393" s="8"/>
      <c r="EQ1393" s="8"/>
      <c r="ER1393" s="8"/>
      <c r="ES1393" s="8"/>
      <c r="ET1393" s="8"/>
      <c r="EU1393" s="8"/>
      <c r="EV1393" s="8"/>
      <c r="EW1393" s="8"/>
      <c r="EX1393" s="8"/>
      <c r="EY1393" s="8"/>
      <c r="EZ1393" s="8"/>
      <c r="FA1393" s="8"/>
      <c r="FB1393" s="8"/>
      <c r="FC1393" s="8"/>
      <c r="FD1393" s="8"/>
      <c r="FE1393" s="8"/>
      <c r="FF1393" s="8"/>
      <c r="FG1393" s="8"/>
      <c r="FH1393" s="8"/>
      <c r="FI1393" s="8"/>
      <c r="FJ1393" s="8"/>
      <c r="FK1393" s="8"/>
      <c r="FL1393" s="8"/>
      <c r="FM1393" s="8"/>
      <c r="FN1393" s="8"/>
      <c r="FO1393" s="8"/>
      <c r="FP1393" s="8"/>
      <c r="FQ1393" s="8"/>
      <c r="FR1393" s="8"/>
      <c r="FS1393" s="8"/>
      <c r="FT1393" s="8"/>
      <c r="FU1393" s="8"/>
      <c r="FV1393" s="8"/>
      <c r="FW1393" s="8"/>
      <c r="FX1393" s="8"/>
      <c r="FY1393" s="8"/>
      <c r="FZ1393" s="8"/>
      <c r="GA1393" s="8"/>
      <c r="GB1393" s="8"/>
      <c r="GC1393" s="8"/>
      <c r="GD1393" s="8"/>
      <c r="GE1393" s="8"/>
      <c r="GF1393" s="8"/>
      <c r="GG1393" s="8"/>
      <c r="GH1393" s="8"/>
      <c r="GI1393" s="8"/>
      <c r="GJ1393" s="8"/>
      <c r="GK1393" s="8"/>
      <c r="GL1393" s="8"/>
      <c r="GM1393" s="8"/>
      <c r="GN1393" s="8"/>
      <c r="GO1393" s="8"/>
      <c r="GP1393" s="8"/>
      <c r="GQ1393" s="8"/>
      <c r="GR1393" s="8"/>
      <c r="GS1393" s="8"/>
      <c r="GT1393" s="8"/>
      <c r="GU1393" s="8"/>
      <c r="GV1393" s="8"/>
      <c r="GW1393" s="8"/>
      <c r="GX1393" s="8"/>
      <c r="GY1393" s="8"/>
      <c r="GZ1393" s="8"/>
      <c r="HA1393" s="8"/>
      <c r="HB1393" s="8"/>
      <c r="HC1393" s="8"/>
      <c r="HD1393" s="8"/>
      <c r="HE1393" s="8"/>
      <c r="HF1393" s="8"/>
      <c r="HG1393" s="8"/>
      <c r="HH1393" s="8"/>
      <c r="HI1393" s="8"/>
      <c r="HJ1393" s="8"/>
      <c r="HK1393" s="8"/>
      <c r="HL1393" s="8"/>
      <c r="HM1393" s="8"/>
      <c r="HN1393" s="8"/>
      <c r="HO1393" s="8"/>
      <c r="HP1393" s="8"/>
      <c r="HQ1393" s="8"/>
      <c r="HR1393" s="8"/>
      <c r="HS1393" s="8"/>
      <c r="HT1393" s="8"/>
      <c r="HU1393" s="8"/>
      <c r="HV1393" s="8"/>
      <c r="HW1393" s="8"/>
      <c r="HX1393" s="8"/>
      <c r="HY1393" s="8"/>
      <c r="HZ1393" s="8"/>
      <c r="IA1393" s="8"/>
      <c r="IB1393" s="8"/>
      <c r="IC1393" s="8"/>
      <c r="ID1393" s="8"/>
      <c r="IE1393" s="8"/>
      <c r="IF1393" s="8"/>
    </row>
    <row r="1394" spans="1:240">
      <c r="A1394" s="14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8"/>
      <c r="AP1394" s="8"/>
      <c r="AQ1394" s="8"/>
      <c r="AR1394" s="8"/>
      <c r="AS1394" s="8"/>
      <c r="AT1394" s="8"/>
      <c r="AU1394" s="8"/>
      <c r="AV1394" s="8"/>
      <c r="AW1394" s="8"/>
      <c r="AX1394" s="8"/>
      <c r="AY1394" s="8"/>
      <c r="AZ1394" s="8"/>
      <c r="BA1394" s="8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8"/>
      <c r="BS1394" s="8"/>
      <c r="BT1394" s="8"/>
      <c r="BU1394" s="8"/>
      <c r="BV1394" s="8"/>
      <c r="BW1394" s="8"/>
      <c r="BX1394" s="8"/>
      <c r="BY1394" s="8"/>
      <c r="BZ1394" s="8"/>
      <c r="CA1394" s="8"/>
      <c r="CB1394" s="8"/>
      <c r="CC1394" s="8"/>
      <c r="CD1394" s="8"/>
      <c r="CE1394" s="8"/>
      <c r="CF1394" s="8"/>
      <c r="CG1394" s="8"/>
      <c r="CH1394" s="8"/>
      <c r="CI1394" s="8"/>
      <c r="CJ1394" s="8"/>
      <c r="CK1394" s="8"/>
      <c r="CL1394" s="8"/>
      <c r="CM1394" s="8"/>
      <c r="CN1394" s="8"/>
      <c r="CO1394" s="8"/>
      <c r="CP1394" s="8"/>
      <c r="CQ1394" s="8"/>
      <c r="CR1394" s="8"/>
      <c r="CS1394" s="8"/>
      <c r="CT1394" s="8"/>
      <c r="CU1394" s="8"/>
      <c r="CV1394" s="8"/>
      <c r="CW1394" s="8"/>
      <c r="CX1394" s="8"/>
      <c r="CY1394" s="8"/>
      <c r="CZ1394" s="8"/>
      <c r="DA1394" s="8"/>
      <c r="DB1394" s="8"/>
      <c r="DC1394" s="8"/>
      <c r="DD1394" s="8"/>
      <c r="DE1394" s="8"/>
      <c r="DF1394" s="8"/>
      <c r="DG1394" s="8"/>
      <c r="DH1394" s="8"/>
      <c r="DI1394" s="8"/>
      <c r="DJ1394" s="8"/>
      <c r="DK1394" s="8"/>
      <c r="DL1394" s="8"/>
      <c r="DM1394" s="8"/>
      <c r="DN1394" s="8"/>
      <c r="DO1394" s="8"/>
      <c r="DP1394" s="8"/>
      <c r="DQ1394" s="8"/>
      <c r="DR1394" s="8"/>
      <c r="DS1394" s="8"/>
      <c r="DT1394" s="8"/>
      <c r="DU1394" s="8"/>
      <c r="DV1394" s="8"/>
      <c r="DW1394" s="8"/>
      <c r="DX1394" s="8"/>
      <c r="DY1394" s="8"/>
      <c r="DZ1394" s="8"/>
      <c r="EA1394" s="8"/>
      <c r="EB1394" s="8"/>
      <c r="EC1394" s="8"/>
      <c r="ED1394" s="8"/>
      <c r="EE1394" s="8"/>
      <c r="EF1394" s="8"/>
      <c r="EG1394" s="8"/>
      <c r="EH1394" s="8"/>
      <c r="EI1394" s="8"/>
      <c r="EJ1394" s="8"/>
      <c r="EK1394" s="8"/>
      <c r="EL1394" s="8"/>
      <c r="EM1394" s="8"/>
      <c r="EN1394" s="8"/>
      <c r="EO1394" s="8"/>
      <c r="EP1394" s="8"/>
      <c r="EQ1394" s="8"/>
      <c r="ER1394" s="8"/>
      <c r="ES1394" s="8"/>
      <c r="ET1394" s="8"/>
      <c r="EU1394" s="8"/>
      <c r="EV1394" s="8"/>
      <c r="EW1394" s="8"/>
      <c r="EX1394" s="8"/>
      <c r="EY1394" s="8"/>
      <c r="EZ1394" s="8"/>
      <c r="FA1394" s="8"/>
      <c r="FB1394" s="8"/>
      <c r="FC1394" s="8"/>
      <c r="FD1394" s="8"/>
      <c r="FE1394" s="8"/>
      <c r="FF1394" s="8"/>
      <c r="FG1394" s="8"/>
      <c r="FH1394" s="8"/>
      <c r="FI1394" s="8"/>
      <c r="FJ1394" s="8"/>
      <c r="FK1394" s="8"/>
      <c r="FL1394" s="8"/>
      <c r="FM1394" s="8"/>
      <c r="FN1394" s="8"/>
      <c r="FO1394" s="8"/>
      <c r="FP1394" s="8"/>
      <c r="FQ1394" s="8"/>
      <c r="FR1394" s="8"/>
      <c r="FS1394" s="8"/>
      <c r="FT1394" s="8"/>
      <c r="FU1394" s="8"/>
      <c r="FV1394" s="8"/>
      <c r="FW1394" s="8"/>
      <c r="FX1394" s="8"/>
      <c r="FY1394" s="8"/>
      <c r="FZ1394" s="8"/>
      <c r="GA1394" s="8"/>
      <c r="GB1394" s="8"/>
      <c r="GC1394" s="8"/>
      <c r="GD1394" s="8"/>
      <c r="GE1394" s="8"/>
      <c r="GF1394" s="8"/>
      <c r="GG1394" s="8"/>
      <c r="GH1394" s="8"/>
      <c r="GI1394" s="8"/>
      <c r="GJ1394" s="8"/>
      <c r="GK1394" s="8"/>
      <c r="GL1394" s="8"/>
      <c r="GM1394" s="8"/>
      <c r="GN1394" s="8"/>
      <c r="GO1394" s="8"/>
      <c r="GP1394" s="8"/>
      <c r="GQ1394" s="8"/>
      <c r="GR1394" s="8"/>
      <c r="GS1394" s="8"/>
      <c r="GT1394" s="8"/>
      <c r="GU1394" s="8"/>
      <c r="GV1394" s="8"/>
      <c r="GW1394" s="8"/>
      <c r="GX1394" s="8"/>
      <c r="GY1394" s="8"/>
      <c r="GZ1394" s="8"/>
      <c r="HA1394" s="8"/>
      <c r="HB1394" s="8"/>
      <c r="HC1394" s="8"/>
      <c r="HD1394" s="8"/>
      <c r="HE1394" s="8"/>
      <c r="HF1394" s="8"/>
      <c r="HG1394" s="8"/>
      <c r="HH1394" s="8"/>
      <c r="HI1394" s="8"/>
      <c r="HJ1394" s="8"/>
      <c r="HK1394" s="8"/>
      <c r="HL1394" s="8"/>
      <c r="HM1394" s="8"/>
      <c r="HN1394" s="8"/>
      <c r="HO1394" s="8"/>
      <c r="HP1394" s="8"/>
      <c r="HQ1394" s="8"/>
      <c r="HR1394" s="8"/>
      <c r="HS1394" s="8"/>
      <c r="HT1394" s="8"/>
      <c r="HU1394" s="8"/>
      <c r="HV1394" s="8"/>
      <c r="HW1394" s="8"/>
      <c r="HX1394" s="8"/>
      <c r="HY1394" s="8"/>
      <c r="HZ1394" s="8"/>
      <c r="IA1394" s="8"/>
      <c r="IB1394" s="8"/>
      <c r="IC1394" s="8"/>
      <c r="ID1394" s="8"/>
      <c r="IE1394" s="8"/>
      <c r="IF1394" s="8"/>
    </row>
    <row r="1395" spans="1:240">
      <c r="A1395" s="14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8"/>
      <c r="AP1395" s="8"/>
      <c r="AQ1395" s="8"/>
      <c r="AR1395" s="8"/>
      <c r="AS1395" s="8"/>
      <c r="AT1395" s="8"/>
      <c r="AU1395" s="8"/>
      <c r="AV1395" s="8"/>
      <c r="AW1395" s="8"/>
      <c r="AX1395" s="8"/>
      <c r="AY1395" s="8"/>
      <c r="AZ1395" s="8"/>
      <c r="BA1395" s="8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8"/>
      <c r="BS1395" s="8"/>
      <c r="BT1395" s="8"/>
      <c r="BU1395" s="8"/>
      <c r="BV1395" s="8"/>
      <c r="BW1395" s="8"/>
      <c r="BX1395" s="8"/>
      <c r="BY1395" s="8"/>
      <c r="BZ1395" s="8"/>
      <c r="CA1395" s="8"/>
      <c r="CB1395" s="8"/>
      <c r="CC1395" s="8"/>
      <c r="CD1395" s="8"/>
      <c r="CE1395" s="8"/>
      <c r="CF1395" s="8"/>
      <c r="CG1395" s="8"/>
      <c r="CH1395" s="8"/>
      <c r="CI1395" s="8"/>
      <c r="CJ1395" s="8"/>
      <c r="CK1395" s="8"/>
      <c r="CL1395" s="8"/>
      <c r="CM1395" s="8"/>
      <c r="CN1395" s="8"/>
      <c r="CO1395" s="8"/>
      <c r="CP1395" s="8"/>
      <c r="CQ1395" s="8"/>
      <c r="CR1395" s="8"/>
      <c r="CS1395" s="8"/>
      <c r="CT1395" s="8"/>
      <c r="CU1395" s="8"/>
      <c r="CV1395" s="8"/>
      <c r="CW1395" s="8"/>
      <c r="CX1395" s="8"/>
      <c r="CY1395" s="8"/>
      <c r="CZ1395" s="8"/>
      <c r="DA1395" s="8"/>
      <c r="DB1395" s="8"/>
      <c r="DC1395" s="8"/>
      <c r="DD1395" s="8"/>
      <c r="DE1395" s="8"/>
      <c r="DF1395" s="8"/>
      <c r="DG1395" s="8"/>
      <c r="DH1395" s="8"/>
      <c r="DI1395" s="8"/>
      <c r="DJ1395" s="8"/>
      <c r="DK1395" s="8"/>
      <c r="DL1395" s="8"/>
      <c r="DM1395" s="8"/>
      <c r="DN1395" s="8"/>
      <c r="DO1395" s="8"/>
      <c r="DP1395" s="8"/>
      <c r="DQ1395" s="8"/>
      <c r="DR1395" s="8"/>
      <c r="DS1395" s="8"/>
      <c r="DT1395" s="8"/>
      <c r="DU1395" s="8"/>
      <c r="DV1395" s="8"/>
      <c r="DW1395" s="8"/>
      <c r="DX1395" s="8"/>
      <c r="DY1395" s="8"/>
      <c r="DZ1395" s="8"/>
      <c r="EA1395" s="8"/>
      <c r="EB1395" s="8"/>
      <c r="EC1395" s="8"/>
      <c r="ED1395" s="8"/>
      <c r="EE1395" s="8"/>
      <c r="EF1395" s="8"/>
      <c r="EG1395" s="8"/>
      <c r="EH1395" s="8"/>
      <c r="EI1395" s="8"/>
      <c r="EJ1395" s="8"/>
      <c r="EK1395" s="8"/>
      <c r="EL1395" s="8"/>
      <c r="EM1395" s="8"/>
      <c r="EN1395" s="8"/>
      <c r="EO1395" s="8"/>
      <c r="EP1395" s="8"/>
      <c r="EQ1395" s="8"/>
      <c r="ER1395" s="8"/>
      <c r="ES1395" s="8"/>
      <c r="ET1395" s="8"/>
      <c r="EU1395" s="8"/>
      <c r="EV1395" s="8"/>
      <c r="EW1395" s="8"/>
      <c r="EX1395" s="8"/>
      <c r="EY1395" s="8"/>
      <c r="EZ1395" s="8"/>
      <c r="FA1395" s="8"/>
      <c r="FB1395" s="8"/>
      <c r="FC1395" s="8"/>
      <c r="FD1395" s="8"/>
      <c r="FE1395" s="8"/>
      <c r="FF1395" s="8"/>
      <c r="FG1395" s="8"/>
      <c r="FH1395" s="8"/>
      <c r="FI1395" s="8"/>
      <c r="FJ1395" s="8"/>
      <c r="FK1395" s="8"/>
      <c r="FL1395" s="8"/>
      <c r="FM1395" s="8"/>
      <c r="FN1395" s="8"/>
      <c r="FO1395" s="8"/>
      <c r="FP1395" s="8"/>
      <c r="FQ1395" s="8"/>
      <c r="FR1395" s="8"/>
      <c r="FS1395" s="8"/>
      <c r="FT1395" s="8"/>
      <c r="FU1395" s="8"/>
      <c r="FV1395" s="8"/>
      <c r="FW1395" s="8"/>
      <c r="FX1395" s="8"/>
      <c r="FY1395" s="8"/>
      <c r="FZ1395" s="8"/>
      <c r="GA1395" s="8"/>
      <c r="GB1395" s="8"/>
      <c r="GC1395" s="8"/>
      <c r="GD1395" s="8"/>
      <c r="GE1395" s="8"/>
      <c r="GF1395" s="8"/>
      <c r="GG1395" s="8"/>
      <c r="GH1395" s="8"/>
      <c r="GI1395" s="8"/>
      <c r="GJ1395" s="8"/>
      <c r="GK1395" s="8"/>
      <c r="GL1395" s="8"/>
      <c r="GM1395" s="8"/>
      <c r="GN1395" s="8"/>
      <c r="GO1395" s="8"/>
      <c r="GP1395" s="8"/>
      <c r="GQ1395" s="8"/>
      <c r="GR1395" s="8"/>
      <c r="GS1395" s="8"/>
      <c r="GT1395" s="8"/>
      <c r="GU1395" s="8"/>
      <c r="GV1395" s="8"/>
      <c r="GW1395" s="8"/>
      <c r="GX1395" s="8"/>
      <c r="GY1395" s="8"/>
      <c r="GZ1395" s="8"/>
      <c r="HA1395" s="8"/>
      <c r="HB1395" s="8"/>
      <c r="HC1395" s="8"/>
      <c r="HD1395" s="8"/>
      <c r="HE1395" s="8"/>
      <c r="HF1395" s="8"/>
      <c r="HG1395" s="8"/>
      <c r="HH1395" s="8"/>
      <c r="HI1395" s="8"/>
      <c r="HJ1395" s="8"/>
      <c r="HK1395" s="8"/>
      <c r="HL1395" s="8"/>
      <c r="HM1395" s="8"/>
      <c r="HN1395" s="8"/>
      <c r="HO1395" s="8"/>
      <c r="HP1395" s="8"/>
      <c r="HQ1395" s="8"/>
      <c r="HR1395" s="8"/>
      <c r="HS1395" s="8"/>
      <c r="HT1395" s="8"/>
      <c r="HU1395" s="8"/>
      <c r="HV1395" s="8"/>
      <c r="HW1395" s="8"/>
      <c r="HX1395" s="8"/>
      <c r="HY1395" s="8"/>
      <c r="HZ1395" s="8"/>
      <c r="IA1395" s="8"/>
      <c r="IB1395" s="8"/>
      <c r="IC1395" s="8"/>
      <c r="ID1395" s="8"/>
      <c r="IE1395" s="8"/>
      <c r="IF1395" s="8"/>
    </row>
    <row r="1396" spans="1:240">
      <c r="A1396" s="14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8"/>
      <c r="AP1396" s="8"/>
      <c r="AQ1396" s="8"/>
      <c r="AR1396" s="8"/>
      <c r="AS1396" s="8"/>
      <c r="AT1396" s="8"/>
      <c r="AU1396" s="8"/>
      <c r="AV1396" s="8"/>
      <c r="AW1396" s="8"/>
      <c r="AX1396" s="8"/>
      <c r="AY1396" s="8"/>
      <c r="AZ1396" s="8"/>
      <c r="BA1396" s="8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8"/>
      <c r="BS1396" s="8"/>
      <c r="BT1396" s="8"/>
      <c r="BU1396" s="8"/>
      <c r="BV1396" s="8"/>
      <c r="BW1396" s="8"/>
      <c r="BX1396" s="8"/>
      <c r="BY1396" s="8"/>
      <c r="BZ1396" s="8"/>
      <c r="CA1396" s="8"/>
      <c r="CB1396" s="8"/>
      <c r="CC1396" s="8"/>
      <c r="CD1396" s="8"/>
      <c r="CE1396" s="8"/>
      <c r="CF1396" s="8"/>
      <c r="CG1396" s="8"/>
      <c r="CH1396" s="8"/>
      <c r="CI1396" s="8"/>
      <c r="CJ1396" s="8"/>
      <c r="CK1396" s="8"/>
      <c r="CL1396" s="8"/>
      <c r="CM1396" s="8"/>
      <c r="CN1396" s="8"/>
      <c r="CO1396" s="8"/>
      <c r="CP1396" s="8"/>
      <c r="CQ1396" s="8"/>
      <c r="CR1396" s="8"/>
      <c r="CS1396" s="8"/>
      <c r="CT1396" s="8"/>
      <c r="CU1396" s="8"/>
      <c r="CV1396" s="8"/>
      <c r="CW1396" s="8"/>
      <c r="CX1396" s="8"/>
      <c r="CY1396" s="8"/>
      <c r="CZ1396" s="8"/>
      <c r="DA1396" s="8"/>
      <c r="DB1396" s="8"/>
      <c r="DC1396" s="8"/>
      <c r="DD1396" s="8"/>
      <c r="DE1396" s="8"/>
      <c r="DF1396" s="8"/>
      <c r="DG1396" s="8"/>
      <c r="DH1396" s="8"/>
      <c r="DI1396" s="8"/>
      <c r="DJ1396" s="8"/>
      <c r="DK1396" s="8"/>
      <c r="DL1396" s="8"/>
      <c r="DM1396" s="8"/>
      <c r="DN1396" s="8"/>
      <c r="DO1396" s="8"/>
      <c r="DP1396" s="8"/>
      <c r="DQ1396" s="8"/>
      <c r="DR1396" s="8"/>
      <c r="DS1396" s="8"/>
      <c r="DT1396" s="8"/>
      <c r="DU1396" s="8"/>
      <c r="DV1396" s="8"/>
      <c r="DW1396" s="8"/>
      <c r="DX1396" s="8"/>
      <c r="DY1396" s="8"/>
      <c r="DZ1396" s="8"/>
      <c r="EA1396" s="8"/>
      <c r="EB1396" s="8"/>
      <c r="EC1396" s="8"/>
      <c r="ED1396" s="8"/>
      <c r="EE1396" s="8"/>
      <c r="EF1396" s="8"/>
      <c r="EG1396" s="8"/>
      <c r="EH1396" s="8"/>
      <c r="EI1396" s="8"/>
      <c r="EJ1396" s="8"/>
      <c r="EK1396" s="8"/>
      <c r="EL1396" s="8"/>
      <c r="EM1396" s="8"/>
      <c r="EN1396" s="8"/>
      <c r="EO1396" s="8"/>
      <c r="EP1396" s="8"/>
      <c r="EQ1396" s="8"/>
      <c r="ER1396" s="8"/>
      <c r="ES1396" s="8"/>
      <c r="ET1396" s="8"/>
      <c r="EU1396" s="8"/>
      <c r="EV1396" s="8"/>
      <c r="EW1396" s="8"/>
      <c r="EX1396" s="8"/>
      <c r="EY1396" s="8"/>
      <c r="EZ1396" s="8"/>
      <c r="FA1396" s="8"/>
      <c r="FB1396" s="8"/>
      <c r="FC1396" s="8"/>
      <c r="FD1396" s="8"/>
      <c r="FE1396" s="8"/>
      <c r="FF1396" s="8"/>
      <c r="FG1396" s="8"/>
      <c r="FH1396" s="8"/>
      <c r="FI1396" s="8"/>
      <c r="FJ1396" s="8"/>
      <c r="FK1396" s="8"/>
      <c r="FL1396" s="8"/>
      <c r="FM1396" s="8"/>
      <c r="FN1396" s="8"/>
      <c r="FO1396" s="8"/>
      <c r="FP1396" s="8"/>
      <c r="FQ1396" s="8"/>
      <c r="FR1396" s="8"/>
      <c r="FS1396" s="8"/>
      <c r="FT1396" s="8"/>
      <c r="FU1396" s="8"/>
      <c r="FV1396" s="8"/>
      <c r="FW1396" s="8"/>
      <c r="FX1396" s="8"/>
      <c r="FY1396" s="8"/>
      <c r="FZ1396" s="8"/>
      <c r="GA1396" s="8"/>
      <c r="GB1396" s="8"/>
      <c r="GC1396" s="8"/>
      <c r="GD1396" s="8"/>
      <c r="GE1396" s="8"/>
      <c r="GF1396" s="8"/>
      <c r="GG1396" s="8"/>
      <c r="GH1396" s="8"/>
      <c r="GI1396" s="8"/>
      <c r="GJ1396" s="8"/>
      <c r="GK1396" s="8"/>
      <c r="GL1396" s="8"/>
      <c r="GM1396" s="8"/>
      <c r="GN1396" s="8"/>
      <c r="GO1396" s="8"/>
      <c r="GP1396" s="8"/>
      <c r="GQ1396" s="8"/>
      <c r="GR1396" s="8"/>
      <c r="GS1396" s="8"/>
      <c r="GT1396" s="8"/>
      <c r="GU1396" s="8"/>
      <c r="GV1396" s="8"/>
      <c r="GW1396" s="8"/>
      <c r="GX1396" s="8"/>
      <c r="GY1396" s="8"/>
      <c r="GZ1396" s="8"/>
      <c r="HA1396" s="8"/>
      <c r="HB1396" s="8"/>
      <c r="HC1396" s="8"/>
      <c r="HD1396" s="8"/>
      <c r="HE1396" s="8"/>
      <c r="HF1396" s="8"/>
      <c r="HG1396" s="8"/>
      <c r="HH1396" s="8"/>
      <c r="HI1396" s="8"/>
      <c r="HJ1396" s="8"/>
      <c r="HK1396" s="8"/>
      <c r="HL1396" s="8"/>
      <c r="HM1396" s="8"/>
      <c r="HN1396" s="8"/>
      <c r="HO1396" s="8"/>
      <c r="HP1396" s="8"/>
      <c r="HQ1396" s="8"/>
      <c r="HR1396" s="8"/>
      <c r="HS1396" s="8"/>
      <c r="HT1396" s="8"/>
      <c r="HU1396" s="8"/>
      <c r="HV1396" s="8"/>
      <c r="HW1396" s="8"/>
      <c r="HX1396" s="8"/>
      <c r="HY1396" s="8"/>
      <c r="HZ1396" s="8"/>
      <c r="IA1396" s="8"/>
      <c r="IB1396" s="8"/>
      <c r="IC1396" s="8"/>
      <c r="ID1396" s="8"/>
      <c r="IE1396" s="8"/>
      <c r="IF1396" s="8"/>
    </row>
    <row r="1397" spans="1:240">
      <c r="A1397" s="14"/>
      <c r="B1397" s="23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8"/>
      <c r="AP1397" s="8"/>
      <c r="AQ1397" s="8"/>
      <c r="AR1397" s="8"/>
      <c r="AS1397" s="8"/>
      <c r="AT1397" s="8"/>
      <c r="AU1397" s="8"/>
      <c r="AV1397" s="8"/>
      <c r="AW1397" s="8"/>
      <c r="AX1397" s="8"/>
      <c r="AY1397" s="8"/>
      <c r="AZ1397" s="8"/>
      <c r="BA1397" s="8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8"/>
      <c r="BS1397" s="8"/>
      <c r="BT1397" s="8"/>
      <c r="BU1397" s="8"/>
      <c r="BV1397" s="8"/>
      <c r="BW1397" s="8"/>
      <c r="BX1397" s="8"/>
      <c r="BY1397" s="8"/>
      <c r="BZ1397" s="8"/>
      <c r="CA1397" s="8"/>
      <c r="CB1397" s="8"/>
      <c r="CC1397" s="8"/>
      <c r="CD1397" s="8"/>
      <c r="CE1397" s="8"/>
      <c r="CF1397" s="8"/>
      <c r="CG1397" s="8"/>
      <c r="CH1397" s="8"/>
      <c r="CI1397" s="8"/>
      <c r="CJ1397" s="8"/>
      <c r="CK1397" s="8"/>
      <c r="CL1397" s="8"/>
      <c r="CM1397" s="8"/>
      <c r="CN1397" s="8"/>
      <c r="CO1397" s="8"/>
      <c r="CP1397" s="8"/>
      <c r="CQ1397" s="8"/>
      <c r="CR1397" s="8"/>
      <c r="CS1397" s="8"/>
      <c r="CT1397" s="8"/>
      <c r="CU1397" s="8"/>
      <c r="CV1397" s="8"/>
      <c r="CW1397" s="8"/>
      <c r="CX1397" s="8"/>
      <c r="CY1397" s="8"/>
      <c r="CZ1397" s="8"/>
      <c r="DA1397" s="8"/>
      <c r="DB1397" s="8"/>
      <c r="DC1397" s="8"/>
      <c r="DD1397" s="8"/>
      <c r="DE1397" s="8"/>
      <c r="DF1397" s="8"/>
      <c r="DG1397" s="8"/>
      <c r="DH1397" s="8"/>
      <c r="DI1397" s="8"/>
      <c r="DJ1397" s="8"/>
      <c r="DK1397" s="8"/>
      <c r="DL1397" s="8"/>
      <c r="DM1397" s="8"/>
      <c r="DN1397" s="8"/>
      <c r="DO1397" s="8"/>
      <c r="DP1397" s="8"/>
      <c r="DQ1397" s="8"/>
      <c r="DR1397" s="8"/>
      <c r="DS1397" s="8"/>
      <c r="DT1397" s="8"/>
      <c r="DU1397" s="8"/>
      <c r="DV1397" s="8"/>
      <c r="DW1397" s="8"/>
      <c r="DX1397" s="8"/>
      <c r="DY1397" s="8"/>
      <c r="DZ1397" s="8"/>
      <c r="EA1397" s="8"/>
      <c r="EB1397" s="8"/>
      <c r="EC1397" s="8"/>
      <c r="ED1397" s="8"/>
      <c r="EE1397" s="8"/>
      <c r="EF1397" s="8"/>
      <c r="EG1397" s="8"/>
      <c r="EH1397" s="8"/>
      <c r="EI1397" s="8"/>
      <c r="EJ1397" s="8"/>
      <c r="EK1397" s="8"/>
      <c r="EL1397" s="8"/>
      <c r="EM1397" s="8"/>
      <c r="EN1397" s="8"/>
      <c r="EO1397" s="8"/>
      <c r="EP1397" s="8"/>
      <c r="EQ1397" s="8"/>
      <c r="ER1397" s="8"/>
      <c r="ES1397" s="8"/>
      <c r="ET1397" s="8"/>
      <c r="EU1397" s="8"/>
      <c r="EV1397" s="8"/>
      <c r="EW1397" s="8"/>
      <c r="EX1397" s="8"/>
      <c r="EY1397" s="8"/>
      <c r="EZ1397" s="8"/>
      <c r="FA1397" s="8"/>
      <c r="FB1397" s="8"/>
      <c r="FC1397" s="8"/>
      <c r="FD1397" s="8"/>
      <c r="FE1397" s="8"/>
      <c r="FF1397" s="8"/>
      <c r="FG1397" s="8"/>
      <c r="FH1397" s="8"/>
      <c r="FI1397" s="8"/>
      <c r="FJ1397" s="8"/>
      <c r="FK1397" s="8"/>
      <c r="FL1397" s="8"/>
      <c r="FM1397" s="8"/>
      <c r="FN1397" s="8"/>
      <c r="FO1397" s="8"/>
      <c r="FP1397" s="8"/>
      <c r="FQ1397" s="8"/>
      <c r="FR1397" s="8"/>
      <c r="FS1397" s="8"/>
      <c r="FT1397" s="8"/>
      <c r="FU1397" s="8"/>
      <c r="FV1397" s="8"/>
      <c r="FW1397" s="8"/>
      <c r="FX1397" s="8"/>
      <c r="FY1397" s="8"/>
      <c r="FZ1397" s="8"/>
      <c r="GA1397" s="8"/>
      <c r="GB1397" s="8"/>
      <c r="GC1397" s="8"/>
      <c r="GD1397" s="8"/>
      <c r="GE1397" s="8"/>
      <c r="GF1397" s="8"/>
      <c r="GG1397" s="8"/>
      <c r="GH1397" s="8"/>
      <c r="GI1397" s="8"/>
      <c r="GJ1397" s="8"/>
      <c r="GK1397" s="8"/>
      <c r="GL1397" s="8"/>
      <c r="GM1397" s="8"/>
      <c r="GN1397" s="8"/>
      <c r="GO1397" s="8"/>
      <c r="GP1397" s="8"/>
      <c r="GQ1397" s="8"/>
      <c r="GR1397" s="8"/>
      <c r="GS1397" s="8"/>
      <c r="GT1397" s="8"/>
      <c r="GU1397" s="8"/>
      <c r="GV1397" s="8"/>
      <c r="GW1397" s="8"/>
      <c r="GX1397" s="8"/>
      <c r="GY1397" s="8"/>
      <c r="GZ1397" s="8"/>
      <c r="HA1397" s="8"/>
      <c r="HB1397" s="8"/>
      <c r="HC1397" s="8"/>
      <c r="HD1397" s="8"/>
      <c r="HE1397" s="8"/>
      <c r="HF1397" s="8"/>
      <c r="HG1397" s="8"/>
      <c r="HH1397" s="8"/>
      <c r="HI1397" s="8"/>
      <c r="HJ1397" s="8"/>
      <c r="HK1397" s="8"/>
      <c r="HL1397" s="8"/>
      <c r="HM1397" s="8"/>
      <c r="HN1397" s="8"/>
      <c r="HO1397" s="8"/>
      <c r="HP1397" s="8"/>
      <c r="HQ1397" s="8"/>
      <c r="HR1397" s="8"/>
      <c r="HS1397" s="8"/>
      <c r="HT1397" s="8"/>
      <c r="HU1397" s="8"/>
      <c r="HV1397" s="8"/>
      <c r="HW1397" s="8"/>
      <c r="HX1397" s="8"/>
      <c r="HY1397" s="8"/>
      <c r="HZ1397" s="8"/>
      <c r="IA1397" s="8"/>
      <c r="IB1397" s="8"/>
      <c r="IC1397" s="8"/>
      <c r="ID1397" s="8"/>
      <c r="IE1397" s="8"/>
      <c r="IF1397" s="8"/>
    </row>
    <row r="1398" spans="1:240">
      <c r="A1398" s="14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8"/>
      <c r="AP1398" s="8"/>
      <c r="AQ1398" s="8"/>
      <c r="AR1398" s="8"/>
      <c r="AS1398" s="8"/>
      <c r="AT1398" s="8"/>
      <c r="AU1398" s="8"/>
      <c r="AV1398" s="8"/>
      <c r="AW1398" s="8"/>
      <c r="AX1398" s="8"/>
      <c r="AY1398" s="8"/>
      <c r="AZ1398" s="8"/>
      <c r="BA1398" s="8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8"/>
      <c r="BS1398" s="8"/>
      <c r="BT1398" s="8"/>
      <c r="BU1398" s="8"/>
      <c r="BV1398" s="8"/>
      <c r="BW1398" s="8"/>
      <c r="BX1398" s="8"/>
      <c r="BY1398" s="8"/>
      <c r="BZ1398" s="8"/>
      <c r="CA1398" s="8"/>
      <c r="CB1398" s="8"/>
      <c r="CC1398" s="8"/>
      <c r="CD1398" s="8"/>
      <c r="CE1398" s="8"/>
      <c r="CF1398" s="8"/>
      <c r="CG1398" s="8"/>
      <c r="CH1398" s="8"/>
      <c r="CI1398" s="8"/>
      <c r="CJ1398" s="8"/>
      <c r="CK1398" s="8"/>
      <c r="CL1398" s="8"/>
      <c r="CM1398" s="8"/>
      <c r="CN1398" s="8"/>
      <c r="CO1398" s="8"/>
      <c r="CP1398" s="8"/>
      <c r="CQ1398" s="8"/>
      <c r="CR1398" s="8"/>
      <c r="CS1398" s="8"/>
      <c r="CT1398" s="8"/>
      <c r="CU1398" s="8"/>
      <c r="CV1398" s="8"/>
      <c r="CW1398" s="8"/>
      <c r="CX1398" s="8"/>
      <c r="CY1398" s="8"/>
      <c r="CZ1398" s="8"/>
      <c r="DA1398" s="8"/>
      <c r="DB1398" s="8"/>
      <c r="DC1398" s="8"/>
      <c r="DD1398" s="8"/>
      <c r="DE1398" s="8"/>
      <c r="DF1398" s="8"/>
      <c r="DG1398" s="8"/>
      <c r="DH1398" s="8"/>
      <c r="DI1398" s="8"/>
      <c r="DJ1398" s="8"/>
      <c r="DK1398" s="8"/>
      <c r="DL1398" s="8"/>
      <c r="DM1398" s="8"/>
      <c r="DN1398" s="8"/>
      <c r="DO1398" s="8"/>
      <c r="DP1398" s="8"/>
      <c r="DQ1398" s="8"/>
      <c r="DR1398" s="8"/>
      <c r="DS1398" s="8"/>
      <c r="DT1398" s="8"/>
      <c r="DU1398" s="8"/>
      <c r="DV1398" s="8"/>
      <c r="DW1398" s="8"/>
      <c r="DX1398" s="8"/>
      <c r="DY1398" s="8"/>
      <c r="DZ1398" s="8"/>
      <c r="EA1398" s="8"/>
      <c r="EB1398" s="8"/>
      <c r="EC1398" s="8"/>
      <c r="ED1398" s="8"/>
      <c r="EE1398" s="8"/>
      <c r="EF1398" s="8"/>
      <c r="EG1398" s="8"/>
      <c r="EH1398" s="8"/>
      <c r="EI1398" s="8"/>
      <c r="EJ1398" s="8"/>
      <c r="EK1398" s="8"/>
      <c r="EL1398" s="8"/>
      <c r="EM1398" s="8"/>
      <c r="EN1398" s="8"/>
      <c r="EO1398" s="8"/>
      <c r="EP1398" s="8"/>
      <c r="EQ1398" s="8"/>
      <c r="ER1398" s="8"/>
      <c r="ES1398" s="8"/>
      <c r="ET1398" s="8"/>
      <c r="EU1398" s="8"/>
      <c r="EV1398" s="8"/>
      <c r="EW1398" s="8"/>
      <c r="EX1398" s="8"/>
      <c r="EY1398" s="8"/>
      <c r="EZ1398" s="8"/>
      <c r="FA1398" s="8"/>
      <c r="FB1398" s="8"/>
      <c r="FC1398" s="8"/>
      <c r="FD1398" s="8"/>
      <c r="FE1398" s="8"/>
      <c r="FF1398" s="8"/>
      <c r="FG1398" s="8"/>
      <c r="FH1398" s="8"/>
      <c r="FI1398" s="8"/>
      <c r="FJ1398" s="8"/>
      <c r="FK1398" s="8"/>
      <c r="FL1398" s="8"/>
      <c r="FM1398" s="8"/>
      <c r="FN1398" s="8"/>
      <c r="FO1398" s="8"/>
      <c r="FP1398" s="8"/>
      <c r="FQ1398" s="8"/>
      <c r="FR1398" s="8"/>
      <c r="FS1398" s="8"/>
      <c r="FT1398" s="8"/>
      <c r="FU1398" s="8"/>
      <c r="FV1398" s="8"/>
      <c r="FW1398" s="8"/>
      <c r="FX1398" s="8"/>
      <c r="FY1398" s="8"/>
      <c r="FZ1398" s="8"/>
      <c r="GA1398" s="8"/>
      <c r="GB1398" s="8"/>
      <c r="GC1398" s="8"/>
      <c r="GD1398" s="8"/>
      <c r="GE1398" s="8"/>
      <c r="GF1398" s="8"/>
      <c r="GG1398" s="8"/>
      <c r="GH1398" s="8"/>
      <c r="GI1398" s="8"/>
      <c r="GJ1398" s="8"/>
      <c r="GK1398" s="8"/>
      <c r="GL1398" s="8"/>
      <c r="GM1398" s="8"/>
      <c r="GN1398" s="8"/>
      <c r="GO1398" s="8"/>
      <c r="GP1398" s="8"/>
      <c r="GQ1398" s="8"/>
      <c r="GR1398" s="8"/>
      <c r="GS1398" s="8"/>
      <c r="GT1398" s="8"/>
      <c r="GU1398" s="8"/>
      <c r="GV1398" s="8"/>
      <c r="GW1398" s="8"/>
      <c r="GX1398" s="8"/>
      <c r="GY1398" s="8"/>
      <c r="GZ1398" s="8"/>
      <c r="HA1398" s="8"/>
      <c r="HB1398" s="8"/>
      <c r="HC1398" s="8"/>
      <c r="HD1398" s="8"/>
      <c r="HE1398" s="8"/>
      <c r="HF1398" s="8"/>
      <c r="HG1398" s="8"/>
      <c r="HH1398" s="8"/>
      <c r="HI1398" s="8"/>
      <c r="HJ1398" s="8"/>
      <c r="HK1398" s="8"/>
      <c r="HL1398" s="8"/>
      <c r="HM1398" s="8"/>
      <c r="HN1398" s="8"/>
      <c r="HO1398" s="8"/>
      <c r="HP1398" s="8"/>
      <c r="HQ1398" s="8"/>
      <c r="HR1398" s="8"/>
      <c r="HS1398" s="8"/>
      <c r="HT1398" s="8"/>
      <c r="HU1398" s="8"/>
      <c r="HV1398" s="8"/>
      <c r="HW1398" s="8"/>
      <c r="HX1398" s="8"/>
      <c r="HY1398" s="8"/>
      <c r="HZ1398" s="8"/>
      <c r="IA1398" s="8"/>
      <c r="IB1398" s="8"/>
      <c r="IC1398" s="8"/>
      <c r="ID1398" s="8"/>
      <c r="IE1398" s="8"/>
      <c r="IF1398" s="8"/>
    </row>
    <row r="1399" spans="1:240">
      <c r="A1399" s="14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8"/>
      <c r="AP1399" s="8"/>
      <c r="AQ1399" s="8"/>
      <c r="AR1399" s="8"/>
      <c r="AS1399" s="8"/>
      <c r="AT1399" s="8"/>
      <c r="AU1399" s="8"/>
      <c r="AV1399" s="8"/>
      <c r="AW1399" s="8"/>
      <c r="AX1399" s="8"/>
      <c r="AY1399" s="8"/>
      <c r="AZ1399" s="8"/>
      <c r="BA1399" s="8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8"/>
      <c r="BS1399" s="8"/>
      <c r="BT1399" s="8"/>
      <c r="BU1399" s="8"/>
      <c r="BV1399" s="8"/>
      <c r="BW1399" s="8"/>
      <c r="BX1399" s="8"/>
      <c r="BY1399" s="8"/>
      <c r="BZ1399" s="8"/>
      <c r="CA1399" s="8"/>
      <c r="CB1399" s="8"/>
      <c r="CC1399" s="8"/>
      <c r="CD1399" s="8"/>
      <c r="CE1399" s="8"/>
      <c r="CF1399" s="8"/>
      <c r="CG1399" s="8"/>
      <c r="CH1399" s="8"/>
      <c r="CI1399" s="8"/>
      <c r="CJ1399" s="8"/>
      <c r="CK1399" s="8"/>
      <c r="CL1399" s="8"/>
      <c r="CM1399" s="8"/>
      <c r="CN1399" s="8"/>
      <c r="CO1399" s="8"/>
      <c r="CP1399" s="8"/>
      <c r="CQ1399" s="8"/>
      <c r="CR1399" s="8"/>
      <c r="CS1399" s="8"/>
      <c r="CT1399" s="8"/>
      <c r="CU1399" s="8"/>
      <c r="CV1399" s="8"/>
      <c r="CW1399" s="8"/>
      <c r="CX1399" s="8"/>
      <c r="CY1399" s="8"/>
      <c r="CZ1399" s="8"/>
      <c r="DA1399" s="8"/>
      <c r="DB1399" s="8"/>
      <c r="DC1399" s="8"/>
      <c r="DD1399" s="8"/>
      <c r="DE1399" s="8"/>
      <c r="DF1399" s="8"/>
      <c r="DG1399" s="8"/>
      <c r="DH1399" s="8"/>
      <c r="DI1399" s="8"/>
      <c r="DJ1399" s="8"/>
      <c r="DK1399" s="8"/>
      <c r="DL1399" s="8"/>
      <c r="DM1399" s="8"/>
      <c r="DN1399" s="8"/>
      <c r="DO1399" s="8"/>
      <c r="DP1399" s="8"/>
      <c r="DQ1399" s="8"/>
      <c r="DR1399" s="8"/>
      <c r="DS1399" s="8"/>
      <c r="DT1399" s="8"/>
      <c r="DU1399" s="8"/>
      <c r="DV1399" s="8"/>
      <c r="DW1399" s="8"/>
      <c r="DX1399" s="8"/>
      <c r="DY1399" s="8"/>
      <c r="DZ1399" s="8"/>
      <c r="EA1399" s="8"/>
      <c r="EB1399" s="8"/>
      <c r="EC1399" s="8"/>
      <c r="ED1399" s="8"/>
      <c r="EE1399" s="8"/>
      <c r="EF1399" s="8"/>
      <c r="EG1399" s="8"/>
      <c r="EH1399" s="8"/>
      <c r="EI1399" s="8"/>
      <c r="EJ1399" s="8"/>
      <c r="EK1399" s="8"/>
      <c r="EL1399" s="8"/>
      <c r="EM1399" s="8"/>
      <c r="EN1399" s="8"/>
      <c r="EO1399" s="8"/>
      <c r="EP1399" s="8"/>
      <c r="EQ1399" s="8"/>
      <c r="ER1399" s="8"/>
      <c r="ES1399" s="8"/>
      <c r="ET1399" s="8"/>
      <c r="EU1399" s="8"/>
      <c r="EV1399" s="8"/>
      <c r="EW1399" s="8"/>
      <c r="EX1399" s="8"/>
      <c r="EY1399" s="8"/>
      <c r="EZ1399" s="8"/>
      <c r="FA1399" s="8"/>
      <c r="FB1399" s="8"/>
      <c r="FC1399" s="8"/>
      <c r="FD1399" s="8"/>
      <c r="FE1399" s="8"/>
      <c r="FF1399" s="8"/>
      <c r="FG1399" s="8"/>
      <c r="FH1399" s="8"/>
      <c r="FI1399" s="8"/>
      <c r="FJ1399" s="8"/>
      <c r="FK1399" s="8"/>
      <c r="FL1399" s="8"/>
      <c r="FM1399" s="8"/>
      <c r="FN1399" s="8"/>
      <c r="FO1399" s="8"/>
      <c r="FP1399" s="8"/>
      <c r="FQ1399" s="8"/>
      <c r="FR1399" s="8"/>
      <c r="FS1399" s="8"/>
      <c r="FT1399" s="8"/>
      <c r="FU1399" s="8"/>
      <c r="FV1399" s="8"/>
      <c r="FW1399" s="8"/>
      <c r="FX1399" s="8"/>
      <c r="FY1399" s="8"/>
      <c r="FZ1399" s="8"/>
      <c r="GA1399" s="8"/>
      <c r="GB1399" s="8"/>
      <c r="GC1399" s="8"/>
      <c r="GD1399" s="8"/>
      <c r="GE1399" s="8"/>
      <c r="GF1399" s="8"/>
      <c r="GG1399" s="8"/>
      <c r="GH1399" s="8"/>
      <c r="GI1399" s="8"/>
      <c r="GJ1399" s="8"/>
      <c r="GK1399" s="8"/>
      <c r="GL1399" s="8"/>
      <c r="GM1399" s="8"/>
      <c r="GN1399" s="8"/>
      <c r="GO1399" s="8"/>
      <c r="GP1399" s="8"/>
      <c r="GQ1399" s="8"/>
      <c r="GR1399" s="8"/>
      <c r="GS1399" s="8"/>
      <c r="GT1399" s="8"/>
      <c r="GU1399" s="8"/>
      <c r="GV1399" s="8"/>
      <c r="GW1399" s="8"/>
      <c r="GX1399" s="8"/>
      <c r="GY1399" s="8"/>
      <c r="GZ1399" s="8"/>
      <c r="HA1399" s="8"/>
      <c r="HB1399" s="8"/>
      <c r="HC1399" s="8"/>
      <c r="HD1399" s="8"/>
      <c r="HE1399" s="8"/>
      <c r="HF1399" s="8"/>
      <c r="HG1399" s="8"/>
      <c r="HH1399" s="8"/>
      <c r="HI1399" s="8"/>
      <c r="HJ1399" s="8"/>
      <c r="HK1399" s="8"/>
      <c r="HL1399" s="8"/>
      <c r="HM1399" s="8"/>
      <c r="HN1399" s="8"/>
      <c r="HO1399" s="8"/>
      <c r="HP1399" s="8"/>
      <c r="HQ1399" s="8"/>
      <c r="HR1399" s="8"/>
      <c r="HS1399" s="8"/>
      <c r="HT1399" s="8"/>
      <c r="HU1399" s="8"/>
      <c r="HV1399" s="8"/>
      <c r="HW1399" s="8"/>
      <c r="HX1399" s="8"/>
      <c r="HY1399" s="8"/>
      <c r="HZ1399" s="8"/>
      <c r="IA1399" s="8"/>
      <c r="IB1399" s="8"/>
      <c r="IC1399" s="8"/>
      <c r="ID1399" s="8"/>
      <c r="IE1399" s="8"/>
      <c r="IF1399" s="8"/>
    </row>
    <row r="1400" spans="1:240">
      <c r="A1400" s="14"/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8"/>
      <c r="AP1400" s="8"/>
      <c r="AQ1400" s="8"/>
      <c r="AR1400" s="8"/>
      <c r="AS1400" s="8"/>
      <c r="AT1400" s="8"/>
      <c r="AU1400" s="8"/>
      <c r="AV1400" s="8"/>
      <c r="AW1400" s="8"/>
      <c r="AX1400" s="8"/>
      <c r="AY1400" s="8"/>
      <c r="AZ1400" s="8"/>
      <c r="BA1400" s="8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8"/>
      <c r="BS1400" s="8"/>
      <c r="BT1400" s="8"/>
      <c r="BU1400" s="8"/>
      <c r="BV1400" s="8"/>
      <c r="BW1400" s="8"/>
      <c r="BX1400" s="8"/>
      <c r="BY1400" s="8"/>
      <c r="BZ1400" s="8"/>
      <c r="CA1400" s="8"/>
      <c r="CB1400" s="8"/>
      <c r="CC1400" s="8"/>
      <c r="CD1400" s="8"/>
      <c r="CE1400" s="8"/>
      <c r="CF1400" s="8"/>
      <c r="CG1400" s="8"/>
      <c r="CH1400" s="8"/>
      <c r="CI1400" s="8"/>
      <c r="CJ1400" s="8"/>
      <c r="CK1400" s="8"/>
      <c r="CL1400" s="8"/>
      <c r="CM1400" s="8"/>
      <c r="CN1400" s="8"/>
      <c r="CO1400" s="8"/>
      <c r="CP1400" s="8"/>
      <c r="CQ1400" s="8"/>
      <c r="CR1400" s="8"/>
      <c r="CS1400" s="8"/>
      <c r="CT1400" s="8"/>
      <c r="CU1400" s="8"/>
      <c r="CV1400" s="8"/>
      <c r="CW1400" s="8"/>
      <c r="CX1400" s="8"/>
      <c r="CY1400" s="8"/>
      <c r="CZ1400" s="8"/>
      <c r="DA1400" s="8"/>
      <c r="DB1400" s="8"/>
      <c r="DC1400" s="8"/>
      <c r="DD1400" s="8"/>
      <c r="DE1400" s="8"/>
      <c r="DF1400" s="8"/>
      <c r="DG1400" s="8"/>
      <c r="DH1400" s="8"/>
      <c r="DI1400" s="8"/>
      <c r="DJ1400" s="8"/>
      <c r="DK1400" s="8"/>
      <c r="DL1400" s="8"/>
      <c r="DM1400" s="8"/>
      <c r="DN1400" s="8"/>
      <c r="DO1400" s="8"/>
      <c r="DP1400" s="8"/>
      <c r="DQ1400" s="8"/>
      <c r="DR1400" s="8"/>
      <c r="DS1400" s="8"/>
      <c r="DT1400" s="8"/>
      <c r="DU1400" s="8"/>
      <c r="DV1400" s="8"/>
      <c r="DW1400" s="8"/>
      <c r="DX1400" s="8"/>
      <c r="DY1400" s="8"/>
      <c r="DZ1400" s="8"/>
      <c r="EA1400" s="8"/>
      <c r="EB1400" s="8"/>
      <c r="EC1400" s="8"/>
      <c r="ED1400" s="8"/>
      <c r="EE1400" s="8"/>
      <c r="EF1400" s="8"/>
      <c r="EG1400" s="8"/>
      <c r="EH1400" s="8"/>
      <c r="EI1400" s="8"/>
      <c r="EJ1400" s="8"/>
      <c r="EK1400" s="8"/>
      <c r="EL1400" s="8"/>
      <c r="EM1400" s="8"/>
      <c r="EN1400" s="8"/>
      <c r="EO1400" s="8"/>
      <c r="EP1400" s="8"/>
      <c r="EQ1400" s="8"/>
      <c r="ER1400" s="8"/>
      <c r="ES1400" s="8"/>
      <c r="ET1400" s="8"/>
      <c r="EU1400" s="8"/>
      <c r="EV1400" s="8"/>
      <c r="EW1400" s="8"/>
      <c r="EX1400" s="8"/>
      <c r="EY1400" s="8"/>
      <c r="EZ1400" s="8"/>
      <c r="FA1400" s="8"/>
      <c r="FB1400" s="8"/>
      <c r="FC1400" s="8"/>
      <c r="FD1400" s="8"/>
      <c r="FE1400" s="8"/>
      <c r="FF1400" s="8"/>
      <c r="FG1400" s="8"/>
      <c r="FH1400" s="8"/>
      <c r="FI1400" s="8"/>
      <c r="FJ1400" s="8"/>
      <c r="FK1400" s="8"/>
      <c r="FL1400" s="8"/>
      <c r="FM1400" s="8"/>
      <c r="FN1400" s="8"/>
      <c r="FO1400" s="8"/>
      <c r="FP1400" s="8"/>
      <c r="FQ1400" s="8"/>
      <c r="FR1400" s="8"/>
      <c r="FS1400" s="8"/>
      <c r="FT1400" s="8"/>
      <c r="FU1400" s="8"/>
      <c r="FV1400" s="8"/>
      <c r="FW1400" s="8"/>
      <c r="FX1400" s="8"/>
      <c r="FY1400" s="8"/>
      <c r="FZ1400" s="8"/>
      <c r="GA1400" s="8"/>
      <c r="GB1400" s="8"/>
      <c r="GC1400" s="8"/>
      <c r="GD1400" s="8"/>
      <c r="GE1400" s="8"/>
      <c r="GF1400" s="8"/>
      <c r="GG1400" s="8"/>
      <c r="GH1400" s="8"/>
      <c r="GI1400" s="8"/>
      <c r="GJ1400" s="8"/>
      <c r="GK1400" s="8"/>
      <c r="GL1400" s="8"/>
      <c r="GM1400" s="8"/>
      <c r="GN1400" s="8"/>
      <c r="GO1400" s="8"/>
      <c r="GP1400" s="8"/>
      <c r="GQ1400" s="8"/>
      <c r="GR1400" s="8"/>
      <c r="GS1400" s="8"/>
      <c r="GT1400" s="8"/>
      <c r="GU1400" s="8"/>
      <c r="GV1400" s="8"/>
      <c r="GW1400" s="8"/>
      <c r="GX1400" s="8"/>
      <c r="GY1400" s="8"/>
      <c r="GZ1400" s="8"/>
      <c r="HA1400" s="8"/>
      <c r="HB1400" s="8"/>
      <c r="HC1400" s="8"/>
      <c r="HD1400" s="8"/>
      <c r="HE1400" s="8"/>
      <c r="HF1400" s="8"/>
      <c r="HG1400" s="8"/>
      <c r="HH1400" s="8"/>
      <c r="HI1400" s="8"/>
      <c r="HJ1400" s="8"/>
      <c r="HK1400" s="8"/>
      <c r="HL1400" s="8"/>
      <c r="HM1400" s="8"/>
      <c r="HN1400" s="8"/>
      <c r="HO1400" s="8"/>
      <c r="HP1400" s="8"/>
      <c r="HQ1400" s="8"/>
      <c r="HR1400" s="8"/>
      <c r="HS1400" s="8"/>
      <c r="HT1400" s="8"/>
      <c r="HU1400" s="8"/>
      <c r="HV1400" s="8"/>
      <c r="HW1400" s="8"/>
      <c r="HX1400" s="8"/>
      <c r="HY1400" s="8"/>
      <c r="HZ1400" s="8"/>
      <c r="IA1400" s="8"/>
      <c r="IB1400" s="8"/>
      <c r="IC1400" s="8"/>
      <c r="ID1400" s="8"/>
      <c r="IE1400" s="8"/>
      <c r="IF1400" s="8"/>
    </row>
    <row r="1401" spans="1:240">
      <c r="A1401" s="14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8"/>
      <c r="BS1401" s="8"/>
      <c r="BT1401" s="8"/>
      <c r="BU1401" s="8"/>
      <c r="BV1401" s="8"/>
      <c r="BW1401" s="8"/>
      <c r="BX1401" s="8"/>
      <c r="BY1401" s="8"/>
      <c r="BZ1401" s="8"/>
      <c r="CA1401" s="8"/>
      <c r="CB1401" s="8"/>
      <c r="CC1401" s="8"/>
      <c r="CD1401" s="8"/>
      <c r="CE1401" s="8"/>
      <c r="CF1401" s="8"/>
      <c r="CG1401" s="8"/>
      <c r="CH1401" s="8"/>
      <c r="CI1401" s="8"/>
      <c r="CJ1401" s="8"/>
      <c r="CK1401" s="8"/>
      <c r="CL1401" s="8"/>
      <c r="CM1401" s="8"/>
      <c r="CN1401" s="8"/>
      <c r="CO1401" s="8"/>
      <c r="CP1401" s="8"/>
      <c r="CQ1401" s="8"/>
      <c r="CR1401" s="8"/>
      <c r="CS1401" s="8"/>
      <c r="CT1401" s="8"/>
      <c r="CU1401" s="8"/>
      <c r="CV1401" s="8"/>
      <c r="CW1401" s="8"/>
      <c r="CX1401" s="8"/>
      <c r="CY1401" s="8"/>
      <c r="CZ1401" s="8"/>
      <c r="DA1401" s="8"/>
      <c r="DB1401" s="8"/>
      <c r="DC1401" s="8"/>
      <c r="DD1401" s="8"/>
      <c r="DE1401" s="8"/>
      <c r="DF1401" s="8"/>
      <c r="DG1401" s="8"/>
      <c r="DH1401" s="8"/>
      <c r="DI1401" s="8"/>
      <c r="DJ1401" s="8"/>
      <c r="DK1401" s="8"/>
      <c r="DL1401" s="8"/>
      <c r="DM1401" s="8"/>
      <c r="DN1401" s="8"/>
      <c r="DO1401" s="8"/>
      <c r="DP1401" s="8"/>
      <c r="DQ1401" s="8"/>
      <c r="DR1401" s="8"/>
      <c r="DS1401" s="8"/>
      <c r="DT1401" s="8"/>
      <c r="DU1401" s="8"/>
      <c r="DV1401" s="8"/>
      <c r="DW1401" s="8"/>
      <c r="DX1401" s="8"/>
      <c r="DY1401" s="8"/>
      <c r="DZ1401" s="8"/>
      <c r="EA1401" s="8"/>
      <c r="EB1401" s="8"/>
      <c r="EC1401" s="8"/>
      <c r="ED1401" s="8"/>
      <c r="EE1401" s="8"/>
      <c r="EF1401" s="8"/>
      <c r="EG1401" s="8"/>
      <c r="EH1401" s="8"/>
      <c r="EI1401" s="8"/>
      <c r="EJ1401" s="8"/>
      <c r="EK1401" s="8"/>
      <c r="EL1401" s="8"/>
      <c r="EM1401" s="8"/>
      <c r="EN1401" s="8"/>
      <c r="EO1401" s="8"/>
      <c r="EP1401" s="8"/>
      <c r="EQ1401" s="8"/>
      <c r="ER1401" s="8"/>
      <c r="ES1401" s="8"/>
      <c r="ET1401" s="8"/>
      <c r="EU1401" s="8"/>
      <c r="EV1401" s="8"/>
      <c r="EW1401" s="8"/>
      <c r="EX1401" s="8"/>
      <c r="EY1401" s="8"/>
      <c r="EZ1401" s="8"/>
      <c r="FA1401" s="8"/>
      <c r="FB1401" s="8"/>
      <c r="FC1401" s="8"/>
      <c r="FD1401" s="8"/>
      <c r="FE1401" s="8"/>
      <c r="FF1401" s="8"/>
      <c r="FG1401" s="8"/>
      <c r="FH1401" s="8"/>
      <c r="FI1401" s="8"/>
      <c r="FJ1401" s="8"/>
      <c r="FK1401" s="8"/>
      <c r="FL1401" s="8"/>
      <c r="FM1401" s="8"/>
      <c r="FN1401" s="8"/>
      <c r="FO1401" s="8"/>
      <c r="FP1401" s="8"/>
      <c r="FQ1401" s="8"/>
      <c r="FR1401" s="8"/>
      <c r="FS1401" s="8"/>
      <c r="FT1401" s="8"/>
      <c r="FU1401" s="8"/>
      <c r="FV1401" s="8"/>
      <c r="FW1401" s="8"/>
      <c r="FX1401" s="8"/>
      <c r="FY1401" s="8"/>
      <c r="FZ1401" s="8"/>
      <c r="GA1401" s="8"/>
      <c r="GB1401" s="8"/>
      <c r="GC1401" s="8"/>
      <c r="GD1401" s="8"/>
      <c r="GE1401" s="8"/>
      <c r="GF1401" s="8"/>
      <c r="GG1401" s="8"/>
      <c r="GH1401" s="8"/>
      <c r="GI1401" s="8"/>
      <c r="GJ1401" s="8"/>
      <c r="GK1401" s="8"/>
      <c r="GL1401" s="8"/>
      <c r="GM1401" s="8"/>
      <c r="GN1401" s="8"/>
      <c r="GO1401" s="8"/>
      <c r="GP1401" s="8"/>
      <c r="GQ1401" s="8"/>
      <c r="GR1401" s="8"/>
      <c r="GS1401" s="8"/>
      <c r="GT1401" s="8"/>
      <c r="GU1401" s="8"/>
      <c r="GV1401" s="8"/>
      <c r="GW1401" s="8"/>
      <c r="GX1401" s="8"/>
      <c r="GY1401" s="8"/>
      <c r="GZ1401" s="8"/>
      <c r="HA1401" s="8"/>
      <c r="HB1401" s="8"/>
      <c r="HC1401" s="8"/>
      <c r="HD1401" s="8"/>
      <c r="HE1401" s="8"/>
      <c r="HF1401" s="8"/>
      <c r="HG1401" s="8"/>
      <c r="HH1401" s="8"/>
      <c r="HI1401" s="8"/>
      <c r="HJ1401" s="8"/>
      <c r="HK1401" s="8"/>
      <c r="HL1401" s="8"/>
      <c r="HM1401" s="8"/>
      <c r="HN1401" s="8"/>
      <c r="HO1401" s="8"/>
      <c r="HP1401" s="8"/>
      <c r="HQ1401" s="8"/>
      <c r="HR1401" s="8"/>
      <c r="HS1401" s="8"/>
      <c r="HT1401" s="8"/>
      <c r="HU1401" s="8"/>
      <c r="HV1401" s="8"/>
      <c r="HW1401" s="8"/>
      <c r="HX1401" s="8"/>
      <c r="HY1401" s="8"/>
      <c r="HZ1401" s="8"/>
      <c r="IA1401" s="8"/>
      <c r="IB1401" s="8"/>
      <c r="IC1401" s="8"/>
      <c r="ID1401" s="8"/>
      <c r="IE1401" s="8"/>
      <c r="IF1401" s="8"/>
    </row>
    <row r="1402" spans="1:240">
      <c r="A1402" s="14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8"/>
      <c r="BS1402" s="8"/>
      <c r="BT1402" s="8"/>
      <c r="BU1402" s="8"/>
      <c r="BV1402" s="8"/>
      <c r="BW1402" s="8"/>
      <c r="BX1402" s="8"/>
      <c r="BY1402" s="8"/>
      <c r="BZ1402" s="8"/>
      <c r="CA1402" s="8"/>
      <c r="CB1402" s="8"/>
      <c r="CC1402" s="8"/>
      <c r="CD1402" s="8"/>
      <c r="CE1402" s="8"/>
      <c r="CF1402" s="8"/>
      <c r="CG1402" s="8"/>
      <c r="CH1402" s="8"/>
      <c r="CI1402" s="8"/>
      <c r="CJ1402" s="8"/>
      <c r="CK1402" s="8"/>
      <c r="CL1402" s="8"/>
      <c r="CM1402" s="8"/>
      <c r="CN1402" s="8"/>
      <c r="CO1402" s="8"/>
      <c r="CP1402" s="8"/>
      <c r="CQ1402" s="8"/>
      <c r="CR1402" s="8"/>
      <c r="CS1402" s="8"/>
      <c r="CT1402" s="8"/>
      <c r="CU1402" s="8"/>
      <c r="CV1402" s="8"/>
      <c r="CW1402" s="8"/>
      <c r="CX1402" s="8"/>
      <c r="CY1402" s="8"/>
      <c r="CZ1402" s="8"/>
      <c r="DA1402" s="8"/>
      <c r="DB1402" s="8"/>
      <c r="DC1402" s="8"/>
      <c r="DD1402" s="8"/>
      <c r="DE1402" s="8"/>
      <c r="DF1402" s="8"/>
      <c r="DG1402" s="8"/>
      <c r="DH1402" s="8"/>
      <c r="DI1402" s="8"/>
      <c r="DJ1402" s="8"/>
      <c r="DK1402" s="8"/>
      <c r="DL1402" s="8"/>
      <c r="DM1402" s="8"/>
      <c r="DN1402" s="8"/>
      <c r="DO1402" s="8"/>
      <c r="DP1402" s="8"/>
      <c r="DQ1402" s="8"/>
      <c r="DR1402" s="8"/>
      <c r="DS1402" s="8"/>
      <c r="DT1402" s="8"/>
      <c r="DU1402" s="8"/>
      <c r="DV1402" s="8"/>
      <c r="DW1402" s="8"/>
      <c r="DX1402" s="8"/>
      <c r="DY1402" s="8"/>
      <c r="DZ1402" s="8"/>
      <c r="EA1402" s="8"/>
      <c r="EB1402" s="8"/>
      <c r="EC1402" s="8"/>
      <c r="ED1402" s="8"/>
      <c r="EE1402" s="8"/>
      <c r="EF1402" s="8"/>
      <c r="EG1402" s="8"/>
      <c r="EH1402" s="8"/>
      <c r="EI1402" s="8"/>
      <c r="EJ1402" s="8"/>
      <c r="EK1402" s="8"/>
      <c r="EL1402" s="8"/>
      <c r="EM1402" s="8"/>
      <c r="EN1402" s="8"/>
      <c r="EO1402" s="8"/>
      <c r="EP1402" s="8"/>
      <c r="EQ1402" s="8"/>
      <c r="ER1402" s="8"/>
      <c r="ES1402" s="8"/>
      <c r="ET1402" s="8"/>
      <c r="EU1402" s="8"/>
      <c r="EV1402" s="8"/>
      <c r="EW1402" s="8"/>
      <c r="EX1402" s="8"/>
      <c r="EY1402" s="8"/>
      <c r="EZ1402" s="8"/>
      <c r="FA1402" s="8"/>
      <c r="FB1402" s="8"/>
      <c r="FC1402" s="8"/>
      <c r="FD1402" s="8"/>
      <c r="FE1402" s="8"/>
      <c r="FF1402" s="8"/>
      <c r="FG1402" s="8"/>
      <c r="FH1402" s="8"/>
      <c r="FI1402" s="8"/>
      <c r="FJ1402" s="8"/>
      <c r="FK1402" s="8"/>
      <c r="FL1402" s="8"/>
      <c r="FM1402" s="8"/>
      <c r="FN1402" s="8"/>
      <c r="FO1402" s="8"/>
      <c r="FP1402" s="8"/>
      <c r="FQ1402" s="8"/>
      <c r="FR1402" s="8"/>
      <c r="FS1402" s="8"/>
      <c r="FT1402" s="8"/>
      <c r="FU1402" s="8"/>
      <c r="FV1402" s="8"/>
      <c r="FW1402" s="8"/>
      <c r="FX1402" s="8"/>
      <c r="FY1402" s="8"/>
      <c r="FZ1402" s="8"/>
      <c r="GA1402" s="8"/>
      <c r="GB1402" s="8"/>
      <c r="GC1402" s="8"/>
      <c r="GD1402" s="8"/>
      <c r="GE1402" s="8"/>
      <c r="GF1402" s="8"/>
      <c r="GG1402" s="8"/>
      <c r="GH1402" s="8"/>
      <c r="GI1402" s="8"/>
      <c r="GJ1402" s="8"/>
      <c r="GK1402" s="8"/>
      <c r="GL1402" s="8"/>
      <c r="GM1402" s="8"/>
      <c r="GN1402" s="8"/>
      <c r="GO1402" s="8"/>
      <c r="GP1402" s="8"/>
      <c r="GQ1402" s="8"/>
      <c r="GR1402" s="8"/>
      <c r="GS1402" s="8"/>
      <c r="GT1402" s="8"/>
      <c r="GU1402" s="8"/>
      <c r="GV1402" s="8"/>
      <c r="GW1402" s="8"/>
      <c r="GX1402" s="8"/>
      <c r="GY1402" s="8"/>
      <c r="GZ1402" s="8"/>
      <c r="HA1402" s="8"/>
      <c r="HB1402" s="8"/>
      <c r="HC1402" s="8"/>
      <c r="HD1402" s="8"/>
      <c r="HE1402" s="8"/>
      <c r="HF1402" s="8"/>
      <c r="HG1402" s="8"/>
      <c r="HH1402" s="8"/>
      <c r="HI1402" s="8"/>
      <c r="HJ1402" s="8"/>
      <c r="HK1402" s="8"/>
      <c r="HL1402" s="8"/>
      <c r="HM1402" s="8"/>
      <c r="HN1402" s="8"/>
      <c r="HO1402" s="8"/>
      <c r="HP1402" s="8"/>
      <c r="HQ1402" s="8"/>
      <c r="HR1402" s="8"/>
      <c r="HS1402" s="8"/>
      <c r="HT1402" s="8"/>
      <c r="HU1402" s="8"/>
      <c r="HV1402" s="8"/>
      <c r="HW1402" s="8"/>
      <c r="HX1402" s="8"/>
      <c r="HY1402" s="8"/>
      <c r="HZ1402" s="8"/>
      <c r="IA1402" s="8"/>
      <c r="IB1402" s="8"/>
      <c r="IC1402" s="8"/>
      <c r="ID1402" s="8"/>
      <c r="IE1402" s="8"/>
      <c r="IF1402" s="8"/>
    </row>
    <row r="1403" spans="1:240">
      <c r="A1403" s="14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8"/>
      <c r="BS1403" s="8"/>
      <c r="BT1403" s="8"/>
      <c r="BU1403" s="8"/>
      <c r="BV1403" s="8"/>
      <c r="BW1403" s="8"/>
      <c r="BX1403" s="8"/>
      <c r="BY1403" s="8"/>
      <c r="BZ1403" s="8"/>
      <c r="CA1403" s="8"/>
      <c r="CB1403" s="8"/>
      <c r="CC1403" s="8"/>
      <c r="CD1403" s="8"/>
      <c r="CE1403" s="8"/>
      <c r="CF1403" s="8"/>
      <c r="CG1403" s="8"/>
      <c r="CH1403" s="8"/>
      <c r="CI1403" s="8"/>
      <c r="CJ1403" s="8"/>
      <c r="CK1403" s="8"/>
      <c r="CL1403" s="8"/>
      <c r="CM1403" s="8"/>
      <c r="CN1403" s="8"/>
      <c r="CO1403" s="8"/>
      <c r="CP1403" s="8"/>
      <c r="CQ1403" s="8"/>
      <c r="CR1403" s="8"/>
      <c r="CS1403" s="8"/>
      <c r="CT1403" s="8"/>
      <c r="CU1403" s="8"/>
      <c r="CV1403" s="8"/>
      <c r="CW1403" s="8"/>
      <c r="CX1403" s="8"/>
      <c r="CY1403" s="8"/>
      <c r="CZ1403" s="8"/>
      <c r="DA1403" s="8"/>
      <c r="DB1403" s="8"/>
      <c r="DC1403" s="8"/>
      <c r="DD1403" s="8"/>
      <c r="DE1403" s="8"/>
      <c r="DF1403" s="8"/>
      <c r="DG1403" s="8"/>
      <c r="DH1403" s="8"/>
      <c r="DI1403" s="8"/>
      <c r="DJ1403" s="8"/>
      <c r="DK1403" s="8"/>
      <c r="DL1403" s="8"/>
      <c r="DM1403" s="8"/>
      <c r="DN1403" s="8"/>
      <c r="DO1403" s="8"/>
      <c r="DP1403" s="8"/>
      <c r="DQ1403" s="8"/>
      <c r="DR1403" s="8"/>
      <c r="DS1403" s="8"/>
      <c r="DT1403" s="8"/>
      <c r="DU1403" s="8"/>
      <c r="DV1403" s="8"/>
      <c r="DW1403" s="8"/>
      <c r="DX1403" s="8"/>
      <c r="DY1403" s="8"/>
      <c r="DZ1403" s="8"/>
      <c r="EA1403" s="8"/>
      <c r="EB1403" s="8"/>
      <c r="EC1403" s="8"/>
      <c r="ED1403" s="8"/>
      <c r="EE1403" s="8"/>
      <c r="EF1403" s="8"/>
      <c r="EG1403" s="8"/>
      <c r="EH1403" s="8"/>
      <c r="EI1403" s="8"/>
      <c r="EJ1403" s="8"/>
      <c r="EK1403" s="8"/>
      <c r="EL1403" s="8"/>
      <c r="EM1403" s="8"/>
      <c r="EN1403" s="8"/>
      <c r="EO1403" s="8"/>
      <c r="EP1403" s="8"/>
      <c r="EQ1403" s="8"/>
      <c r="ER1403" s="8"/>
      <c r="ES1403" s="8"/>
      <c r="ET1403" s="8"/>
      <c r="EU1403" s="8"/>
      <c r="EV1403" s="8"/>
      <c r="EW1403" s="8"/>
      <c r="EX1403" s="8"/>
      <c r="EY1403" s="8"/>
      <c r="EZ1403" s="8"/>
      <c r="FA1403" s="8"/>
      <c r="FB1403" s="8"/>
      <c r="FC1403" s="8"/>
      <c r="FD1403" s="8"/>
      <c r="FE1403" s="8"/>
      <c r="FF1403" s="8"/>
      <c r="FG1403" s="8"/>
      <c r="FH1403" s="8"/>
      <c r="FI1403" s="8"/>
      <c r="FJ1403" s="8"/>
      <c r="FK1403" s="8"/>
      <c r="FL1403" s="8"/>
      <c r="FM1403" s="8"/>
      <c r="FN1403" s="8"/>
      <c r="FO1403" s="8"/>
      <c r="FP1403" s="8"/>
      <c r="FQ1403" s="8"/>
      <c r="FR1403" s="8"/>
      <c r="FS1403" s="8"/>
      <c r="FT1403" s="8"/>
      <c r="FU1403" s="8"/>
      <c r="FV1403" s="8"/>
      <c r="FW1403" s="8"/>
      <c r="FX1403" s="8"/>
      <c r="FY1403" s="8"/>
      <c r="FZ1403" s="8"/>
      <c r="GA1403" s="8"/>
      <c r="GB1403" s="8"/>
      <c r="GC1403" s="8"/>
      <c r="GD1403" s="8"/>
      <c r="GE1403" s="8"/>
      <c r="GF1403" s="8"/>
      <c r="GG1403" s="8"/>
      <c r="GH1403" s="8"/>
      <c r="GI1403" s="8"/>
      <c r="GJ1403" s="8"/>
      <c r="GK1403" s="8"/>
      <c r="GL1403" s="8"/>
      <c r="GM1403" s="8"/>
      <c r="GN1403" s="8"/>
      <c r="GO1403" s="8"/>
      <c r="GP1403" s="8"/>
      <c r="GQ1403" s="8"/>
      <c r="GR1403" s="8"/>
      <c r="GS1403" s="8"/>
      <c r="GT1403" s="8"/>
      <c r="GU1403" s="8"/>
      <c r="GV1403" s="8"/>
      <c r="GW1403" s="8"/>
      <c r="GX1403" s="8"/>
      <c r="GY1403" s="8"/>
      <c r="GZ1403" s="8"/>
      <c r="HA1403" s="8"/>
      <c r="HB1403" s="8"/>
      <c r="HC1403" s="8"/>
      <c r="HD1403" s="8"/>
      <c r="HE1403" s="8"/>
      <c r="HF1403" s="8"/>
      <c r="HG1403" s="8"/>
      <c r="HH1403" s="8"/>
      <c r="HI1403" s="8"/>
      <c r="HJ1403" s="8"/>
      <c r="HK1403" s="8"/>
      <c r="HL1403" s="8"/>
      <c r="HM1403" s="8"/>
      <c r="HN1403" s="8"/>
      <c r="HO1403" s="8"/>
      <c r="HP1403" s="8"/>
      <c r="HQ1403" s="8"/>
      <c r="HR1403" s="8"/>
      <c r="HS1403" s="8"/>
      <c r="HT1403" s="8"/>
      <c r="HU1403" s="8"/>
      <c r="HV1403" s="8"/>
      <c r="HW1403" s="8"/>
      <c r="HX1403" s="8"/>
      <c r="HY1403" s="8"/>
      <c r="HZ1403" s="8"/>
      <c r="IA1403" s="8"/>
      <c r="IB1403" s="8"/>
      <c r="IC1403" s="8"/>
      <c r="ID1403" s="8"/>
      <c r="IE1403" s="8"/>
      <c r="IF1403" s="8"/>
    </row>
    <row r="1404" spans="1:240">
      <c r="A1404" s="14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8"/>
      <c r="AP1404" s="8"/>
      <c r="AQ1404" s="8"/>
      <c r="AR1404" s="8"/>
      <c r="AS1404" s="8"/>
      <c r="AT1404" s="8"/>
      <c r="AU1404" s="8"/>
      <c r="AV1404" s="8"/>
      <c r="AW1404" s="8"/>
      <c r="AX1404" s="8"/>
      <c r="AY1404" s="8"/>
      <c r="AZ1404" s="8"/>
      <c r="BA1404" s="8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8"/>
      <c r="BS1404" s="8"/>
      <c r="BT1404" s="8"/>
      <c r="BU1404" s="8"/>
      <c r="BV1404" s="8"/>
      <c r="BW1404" s="8"/>
      <c r="BX1404" s="8"/>
      <c r="BY1404" s="8"/>
      <c r="BZ1404" s="8"/>
      <c r="CA1404" s="8"/>
      <c r="CB1404" s="8"/>
      <c r="CC1404" s="8"/>
      <c r="CD1404" s="8"/>
      <c r="CE1404" s="8"/>
      <c r="CF1404" s="8"/>
      <c r="CG1404" s="8"/>
      <c r="CH1404" s="8"/>
      <c r="CI1404" s="8"/>
      <c r="CJ1404" s="8"/>
      <c r="CK1404" s="8"/>
      <c r="CL1404" s="8"/>
      <c r="CM1404" s="8"/>
      <c r="CN1404" s="8"/>
      <c r="CO1404" s="8"/>
      <c r="CP1404" s="8"/>
      <c r="CQ1404" s="8"/>
      <c r="CR1404" s="8"/>
      <c r="CS1404" s="8"/>
      <c r="CT1404" s="8"/>
      <c r="CU1404" s="8"/>
      <c r="CV1404" s="8"/>
      <c r="CW1404" s="8"/>
      <c r="CX1404" s="8"/>
      <c r="CY1404" s="8"/>
      <c r="CZ1404" s="8"/>
      <c r="DA1404" s="8"/>
      <c r="DB1404" s="8"/>
      <c r="DC1404" s="8"/>
      <c r="DD1404" s="8"/>
      <c r="DE1404" s="8"/>
      <c r="DF1404" s="8"/>
      <c r="DG1404" s="8"/>
      <c r="DH1404" s="8"/>
      <c r="DI1404" s="8"/>
      <c r="DJ1404" s="8"/>
      <c r="DK1404" s="8"/>
      <c r="DL1404" s="8"/>
      <c r="DM1404" s="8"/>
      <c r="DN1404" s="8"/>
      <c r="DO1404" s="8"/>
      <c r="DP1404" s="8"/>
      <c r="DQ1404" s="8"/>
      <c r="DR1404" s="8"/>
      <c r="DS1404" s="8"/>
      <c r="DT1404" s="8"/>
      <c r="DU1404" s="8"/>
      <c r="DV1404" s="8"/>
      <c r="DW1404" s="8"/>
      <c r="DX1404" s="8"/>
      <c r="DY1404" s="8"/>
      <c r="DZ1404" s="8"/>
      <c r="EA1404" s="8"/>
      <c r="EB1404" s="8"/>
      <c r="EC1404" s="8"/>
      <c r="ED1404" s="8"/>
      <c r="EE1404" s="8"/>
      <c r="EF1404" s="8"/>
      <c r="EG1404" s="8"/>
      <c r="EH1404" s="8"/>
      <c r="EI1404" s="8"/>
      <c r="EJ1404" s="8"/>
      <c r="EK1404" s="8"/>
      <c r="EL1404" s="8"/>
      <c r="EM1404" s="8"/>
      <c r="EN1404" s="8"/>
      <c r="EO1404" s="8"/>
      <c r="EP1404" s="8"/>
      <c r="EQ1404" s="8"/>
      <c r="ER1404" s="8"/>
      <c r="ES1404" s="8"/>
      <c r="ET1404" s="8"/>
      <c r="EU1404" s="8"/>
      <c r="EV1404" s="8"/>
      <c r="EW1404" s="8"/>
      <c r="EX1404" s="8"/>
      <c r="EY1404" s="8"/>
      <c r="EZ1404" s="8"/>
      <c r="FA1404" s="8"/>
      <c r="FB1404" s="8"/>
      <c r="FC1404" s="8"/>
      <c r="FD1404" s="8"/>
      <c r="FE1404" s="8"/>
      <c r="FF1404" s="8"/>
      <c r="FG1404" s="8"/>
      <c r="FH1404" s="8"/>
      <c r="FI1404" s="8"/>
      <c r="FJ1404" s="8"/>
      <c r="FK1404" s="8"/>
      <c r="FL1404" s="8"/>
      <c r="FM1404" s="8"/>
      <c r="FN1404" s="8"/>
      <c r="FO1404" s="8"/>
      <c r="FP1404" s="8"/>
      <c r="FQ1404" s="8"/>
      <c r="FR1404" s="8"/>
      <c r="FS1404" s="8"/>
      <c r="FT1404" s="8"/>
      <c r="FU1404" s="8"/>
      <c r="FV1404" s="8"/>
      <c r="FW1404" s="8"/>
      <c r="FX1404" s="8"/>
      <c r="FY1404" s="8"/>
      <c r="FZ1404" s="8"/>
      <c r="GA1404" s="8"/>
      <c r="GB1404" s="8"/>
      <c r="GC1404" s="8"/>
      <c r="GD1404" s="8"/>
      <c r="GE1404" s="8"/>
      <c r="GF1404" s="8"/>
      <c r="GG1404" s="8"/>
      <c r="GH1404" s="8"/>
      <c r="GI1404" s="8"/>
      <c r="GJ1404" s="8"/>
      <c r="GK1404" s="8"/>
      <c r="GL1404" s="8"/>
      <c r="GM1404" s="8"/>
      <c r="GN1404" s="8"/>
      <c r="GO1404" s="8"/>
      <c r="GP1404" s="8"/>
      <c r="GQ1404" s="8"/>
      <c r="GR1404" s="8"/>
      <c r="GS1404" s="8"/>
      <c r="GT1404" s="8"/>
      <c r="GU1404" s="8"/>
      <c r="GV1404" s="8"/>
      <c r="GW1404" s="8"/>
      <c r="GX1404" s="8"/>
      <c r="GY1404" s="8"/>
      <c r="GZ1404" s="8"/>
      <c r="HA1404" s="8"/>
      <c r="HB1404" s="8"/>
      <c r="HC1404" s="8"/>
      <c r="HD1404" s="8"/>
      <c r="HE1404" s="8"/>
      <c r="HF1404" s="8"/>
      <c r="HG1404" s="8"/>
      <c r="HH1404" s="8"/>
      <c r="HI1404" s="8"/>
      <c r="HJ1404" s="8"/>
      <c r="HK1404" s="8"/>
      <c r="HL1404" s="8"/>
      <c r="HM1404" s="8"/>
      <c r="HN1404" s="8"/>
      <c r="HO1404" s="8"/>
      <c r="HP1404" s="8"/>
      <c r="HQ1404" s="8"/>
      <c r="HR1404" s="8"/>
      <c r="HS1404" s="8"/>
      <c r="HT1404" s="8"/>
      <c r="HU1404" s="8"/>
      <c r="HV1404" s="8"/>
      <c r="HW1404" s="8"/>
      <c r="HX1404" s="8"/>
      <c r="HY1404" s="8"/>
      <c r="HZ1404" s="8"/>
      <c r="IA1404" s="8"/>
      <c r="IB1404" s="8"/>
      <c r="IC1404" s="8"/>
      <c r="ID1404" s="8"/>
      <c r="IE1404" s="8"/>
      <c r="IF1404" s="8"/>
    </row>
    <row r="1405" spans="1:240">
      <c r="A1405" s="14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8"/>
      <c r="BS1405" s="8"/>
      <c r="BT1405" s="8"/>
      <c r="BU1405" s="8"/>
      <c r="BV1405" s="8"/>
      <c r="BW1405" s="8"/>
      <c r="BX1405" s="8"/>
      <c r="BY1405" s="8"/>
      <c r="BZ1405" s="8"/>
      <c r="CA1405" s="8"/>
      <c r="CB1405" s="8"/>
      <c r="CC1405" s="8"/>
      <c r="CD1405" s="8"/>
      <c r="CE1405" s="8"/>
      <c r="CF1405" s="8"/>
      <c r="CG1405" s="8"/>
      <c r="CH1405" s="8"/>
      <c r="CI1405" s="8"/>
      <c r="CJ1405" s="8"/>
      <c r="CK1405" s="8"/>
      <c r="CL1405" s="8"/>
      <c r="CM1405" s="8"/>
      <c r="CN1405" s="8"/>
      <c r="CO1405" s="8"/>
      <c r="CP1405" s="8"/>
      <c r="CQ1405" s="8"/>
      <c r="CR1405" s="8"/>
      <c r="CS1405" s="8"/>
      <c r="CT1405" s="8"/>
      <c r="CU1405" s="8"/>
      <c r="CV1405" s="8"/>
      <c r="CW1405" s="8"/>
      <c r="CX1405" s="8"/>
      <c r="CY1405" s="8"/>
      <c r="CZ1405" s="8"/>
      <c r="DA1405" s="8"/>
      <c r="DB1405" s="8"/>
      <c r="DC1405" s="8"/>
      <c r="DD1405" s="8"/>
      <c r="DE1405" s="8"/>
      <c r="DF1405" s="8"/>
      <c r="DG1405" s="8"/>
      <c r="DH1405" s="8"/>
      <c r="DI1405" s="8"/>
      <c r="DJ1405" s="8"/>
      <c r="DK1405" s="8"/>
      <c r="DL1405" s="8"/>
      <c r="DM1405" s="8"/>
      <c r="DN1405" s="8"/>
      <c r="DO1405" s="8"/>
      <c r="DP1405" s="8"/>
      <c r="DQ1405" s="8"/>
      <c r="DR1405" s="8"/>
      <c r="DS1405" s="8"/>
      <c r="DT1405" s="8"/>
      <c r="DU1405" s="8"/>
      <c r="DV1405" s="8"/>
      <c r="DW1405" s="8"/>
      <c r="DX1405" s="8"/>
      <c r="DY1405" s="8"/>
      <c r="DZ1405" s="8"/>
      <c r="EA1405" s="8"/>
      <c r="EB1405" s="8"/>
      <c r="EC1405" s="8"/>
      <c r="ED1405" s="8"/>
      <c r="EE1405" s="8"/>
      <c r="EF1405" s="8"/>
      <c r="EG1405" s="8"/>
      <c r="EH1405" s="8"/>
      <c r="EI1405" s="8"/>
      <c r="EJ1405" s="8"/>
      <c r="EK1405" s="8"/>
      <c r="EL1405" s="8"/>
      <c r="EM1405" s="8"/>
      <c r="EN1405" s="8"/>
      <c r="EO1405" s="8"/>
      <c r="EP1405" s="8"/>
      <c r="EQ1405" s="8"/>
      <c r="ER1405" s="8"/>
      <c r="ES1405" s="8"/>
      <c r="ET1405" s="8"/>
      <c r="EU1405" s="8"/>
      <c r="EV1405" s="8"/>
      <c r="EW1405" s="8"/>
      <c r="EX1405" s="8"/>
      <c r="EY1405" s="8"/>
      <c r="EZ1405" s="8"/>
      <c r="FA1405" s="8"/>
      <c r="FB1405" s="8"/>
      <c r="FC1405" s="8"/>
      <c r="FD1405" s="8"/>
      <c r="FE1405" s="8"/>
      <c r="FF1405" s="8"/>
      <c r="FG1405" s="8"/>
      <c r="FH1405" s="8"/>
      <c r="FI1405" s="8"/>
      <c r="FJ1405" s="8"/>
      <c r="FK1405" s="8"/>
      <c r="FL1405" s="8"/>
      <c r="FM1405" s="8"/>
      <c r="FN1405" s="8"/>
      <c r="FO1405" s="8"/>
      <c r="FP1405" s="8"/>
      <c r="FQ1405" s="8"/>
      <c r="FR1405" s="8"/>
      <c r="FS1405" s="8"/>
      <c r="FT1405" s="8"/>
      <c r="FU1405" s="8"/>
      <c r="FV1405" s="8"/>
      <c r="FW1405" s="8"/>
      <c r="FX1405" s="8"/>
      <c r="FY1405" s="8"/>
      <c r="FZ1405" s="8"/>
      <c r="GA1405" s="8"/>
      <c r="GB1405" s="8"/>
      <c r="GC1405" s="8"/>
      <c r="GD1405" s="8"/>
      <c r="GE1405" s="8"/>
      <c r="GF1405" s="8"/>
      <c r="GG1405" s="8"/>
      <c r="GH1405" s="8"/>
      <c r="GI1405" s="8"/>
      <c r="GJ1405" s="8"/>
      <c r="GK1405" s="8"/>
      <c r="GL1405" s="8"/>
      <c r="GM1405" s="8"/>
      <c r="GN1405" s="8"/>
      <c r="GO1405" s="8"/>
      <c r="GP1405" s="8"/>
      <c r="GQ1405" s="8"/>
      <c r="GR1405" s="8"/>
      <c r="GS1405" s="8"/>
      <c r="GT1405" s="8"/>
      <c r="GU1405" s="8"/>
      <c r="GV1405" s="8"/>
      <c r="GW1405" s="8"/>
      <c r="GX1405" s="8"/>
      <c r="GY1405" s="8"/>
      <c r="GZ1405" s="8"/>
      <c r="HA1405" s="8"/>
      <c r="HB1405" s="8"/>
      <c r="HC1405" s="8"/>
      <c r="HD1405" s="8"/>
      <c r="HE1405" s="8"/>
      <c r="HF1405" s="8"/>
      <c r="HG1405" s="8"/>
      <c r="HH1405" s="8"/>
      <c r="HI1405" s="8"/>
      <c r="HJ1405" s="8"/>
      <c r="HK1405" s="8"/>
      <c r="HL1405" s="8"/>
      <c r="HM1405" s="8"/>
      <c r="HN1405" s="8"/>
      <c r="HO1405" s="8"/>
      <c r="HP1405" s="8"/>
      <c r="HQ1405" s="8"/>
      <c r="HR1405" s="8"/>
      <c r="HS1405" s="8"/>
      <c r="HT1405" s="8"/>
      <c r="HU1405" s="8"/>
      <c r="HV1405" s="8"/>
      <c r="HW1405" s="8"/>
      <c r="HX1405" s="8"/>
      <c r="HY1405" s="8"/>
      <c r="HZ1405" s="8"/>
      <c r="IA1405" s="8"/>
      <c r="IB1405" s="8"/>
      <c r="IC1405" s="8"/>
      <c r="ID1405" s="8"/>
      <c r="IE1405" s="8"/>
      <c r="IF1405" s="8"/>
    </row>
    <row r="1406" spans="1:240">
      <c r="A1406" s="14"/>
      <c r="B1406" s="23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8"/>
      <c r="BS1406" s="8"/>
      <c r="BT1406" s="8"/>
      <c r="BU1406" s="8"/>
      <c r="BV1406" s="8"/>
      <c r="BW1406" s="8"/>
      <c r="BX1406" s="8"/>
      <c r="BY1406" s="8"/>
      <c r="BZ1406" s="8"/>
      <c r="CA1406" s="8"/>
      <c r="CB1406" s="8"/>
      <c r="CC1406" s="8"/>
      <c r="CD1406" s="8"/>
      <c r="CE1406" s="8"/>
      <c r="CF1406" s="8"/>
      <c r="CG1406" s="8"/>
      <c r="CH1406" s="8"/>
      <c r="CI1406" s="8"/>
      <c r="CJ1406" s="8"/>
      <c r="CK1406" s="8"/>
      <c r="CL1406" s="8"/>
      <c r="CM1406" s="8"/>
      <c r="CN1406" s="8"/>
      <c r="CO1406" s="8"/>
      <c r="CP1406" s="8"/>
      <c r="CQ1406" s="8"/>
      <c r="CR1406" s="8"/>
      <c r="CS1406" s="8"/>
      <c r="CT1406" s="8"/>
      <c r="CU1406" s="8"/>
      <c r="CV1406" s="8"/>
      <c r="CW1406" s="8"/>
      <c r="CX1406" s="8"/>
      <c r="CY1406" s="8"/>
      <c r="CZ1406" s="8"/>
      <c r="DA1406" s="8"/>
      <c r="DB1406" s="8"/>
      <c r="DC1406" s="8"/>
      <c r="DD1406" s="8"/>
      <c r="DE1406" s="8"/>
      <c r="DF1406" s="8"/>
      <c r="DG1406" s="8"/>
      <c r="DH1406" s="8"/>
      <c r="DI1406" s="8"/>
      <c r="DJ1406" s="8"/>
      <c r="DK1406" s="8"/>
      <c r="DL1406" s="8"/>
      <c r="DM1406" s="8"/>
      <c r="DN1406" s="8"/>
      <c r="DO1406" s="8"/>
      <c r="DP1406" s="8"/>
      <c r="DQ1406" s="8"/>
      <c r="DR1406" s="8"/>
      <c r="DS1406" s="8"/>
      <c r="DT1406" s="8"/>
      <c r="DU1406" s="8"/>
      <c r="DV1406" s="8"/>
      <c r="DW1406" s="8"/>
      <c r="DX1406" s="8"/>
      <c r="DY1406" s="8"/>
      <c r="DZ1406" s="8"/>
      <c r="EA1406" s="8"/>
      <c r="EB1406" s="8"/>
      <c r="EC1406" s="8"/>
      <c r="ED1406" s="8"/>
      <c r="EE1406" s="8"/>
      <c r="EF1406" s="8"/>
      <c r="EG1406" s="8"/>
      <c r="EH1406" s="8"/>
      <c r="EI1406" s="8"/>
      <c r="EJ1406" s="8"/>
      <c r="EK1406" s="8"/>
      <c r="EL1406" s="8"/>
      <c r="EM1406" s="8"/>
      <c r="EN1406" s="8"/>
      <c r="EO1406" s="8"/>
      <c r="EP1406" s="8"/>
      <c r="EQ1406" s="8"/>
      <c r="ER1406" s="8"/>
      <c r="ES1406" s="8"/>
      <c r="ET1406" s="8"/>
      <c r="EU1406" s="8"/>
      <c r="EV1406" s="8"/>
      <c r="EW1406" s="8"/>
      <c r="EX1406" s="8"/>
      <c r="EY1406" s="8"/>
      <c r="EZ1406" s="8"/>
      <c r="FA1406" s="8"/>
      <c r="FB1406" s="8"/>
      <c r="FC1406" s="8"/>
      <c r="FD1406" s="8"/>
      <c r="FE1406" s="8"/>
      <c r="FF1406" s="8"/>
      <c r="FG1406" s="8"/>
      <c r="FH1406" s="8"/>
      <c r="FI1406" s="8"/>
      <c r="FJ1406" s="8"/>
      <c r="FK1406" s="8"/>
      <c r="FL1406" s="8"/>
      <c r="FM1406" s="8"/>
      <c r="FN1406" s="8"/>
      <c r="FO1406" s="8"/>
      <c r="FP1406" s="8"/>
      <c r="FQ1406" s="8"/>
      <c r="FR1406" s="8"/>
      <c r="FS1406" s="8"/>
      <c r="FT1406" s="8"/>
      <c r="FU1406" s="8"/>
      <c r="FV1406" s="8"/>
      <c r="FW1406" s="8"/>
      <c r="FX1406" s="8"/>
      <c r="FY1406" s="8"/>
      <c r="FZ1406" s="8"/>
      <c r="GA1406" s="8"/>
      <c r="GB1406" s="8"/>
      <c r="GC1406" s="8"/>
      <c r="GD1406" s="8"/>
      <c r="GE1406" s="8"/>
      <c r="GF1406" s="8"/>
      <c r="GG1406" s="8"/>
      <c r="GH1406" s="8"/>
      <c r="GI1406" s="8"/>
      <c r="GJ1406" s="8"/>
      <c r="GK1406" s="8"/>
      <c r="GL1406" s="8"/>
      <c r="GM1406" s="8"/>
      <c r="GN1406" s="8"/>
      <c r="GO1406" s="8"/>
      <c r="GP1406" s="8"/>
      <c r="GQ1406" s="8"/>
      <c r="GR1406" s="8"/>
      <c r="GS1406" s="8"/>
      <c r="GT1406" s="8"/>
      <c r="GU1406" s="8"/>
      <c r="GV1406" s="8"/>
      <c r="GW1406" s="8"/>
      <c r="GX1406" s="8"/>
      <c r="GY1406" s="8"/>
      <c r="GZ1406" s="8"/>
      <c r="HA1406" s="8"/>
      <c r="HB1406" s="8"/>
      <c r="HC1406" s="8"/>
      <c r="HD1406" s="8"/>
      <c r="HE1406" s="8"/>
      <c r="HF1406" s="8"/>
      <c r="HG1406" s="8"/>
      <c r="HH1406" s="8"/>
      <c r="HI1406" s="8"/>
      <c r="HJ1406" s="8"/>
      <c r="HK1406" s="8"/>
      <c r="HL1406" s="8"/>
      <c r="HM1406" s="8"/>
      <c r="HN1406" s="8"/>
      <c r="HO1406" s="8"/>
      <c r="HP1406" s="8"/>
      <c r="HQ1406" s="8"/>
      <c r="HR1406" s="8"/>
      <c r="HS1406" s="8"/>
      <c r="HT1406" s="8"/>
      <c r="HU1406" s="8"/>
      <c r="HV1406" s="8"/>
      <c r="HW1406" s="8"/>
      <c r="HX1406" s="8"/>
      <c r="HY1406" s="8"/>
      <c r="HZ1406" s="8"/>
      <c r="IA1406" s="8"/>
      <c r="IB1406" s="8"/>
      <c r="IC1406" s="8"/>
      <c r="ID1406" s="8"/>
      <c r="IE1406" s="8"/>
      <c r="IF1406" s="8"/>
    </row>
    <row r="1407" spans="1:240">
      <c r="A1407" s="14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8"/>
      <c r="BS1407" s="8"/>
      <c r="BT1407" s="8"/>
      <c r="BU1407" s="8"/>
      <c r="BV1407" s="8"/>
      <c r="BW1407" s="8"/>
      <c r="BX1407" s="8"/>
      <c r="BY1407" s="8"/>
      <c r="BZ1407" s="8"/>
      <c r="CA1407" s="8"/>
      <c r="CB1407" s="8"/>
      <c r="CC1407" s="8"/>
      <c r="CD1407" s="8"/>
      <c r="CE1407" s="8"/>
      <c r="CF1407" s="8"/>
      <c r="CG1407" s="8"/>
      <c r="CH1407" s="8"/>
      <c r="CI1407" s="8"/>
      <c r="CJ1407" s="8"/>
      <c r="CK1407" s="8"/>
      <c r="CL1407" s="8"/>
      <c r="CM1407" s="8"/>
      <c r="CN1407" s="8"/>
      <c r="CO1407" s="8"/>
      <c r="CP1407" s="8"/>
      <c r="CQ1407" s="8"/>
      <c r="CR1407" s="8"/>
      <c r="CS1407" s="8"/>
      <c r="CT1407" s="8"/>
      <c r="CU1407" s="8"/>
      <c r="CV1407" s="8"/>
      <c r="CW1407" s="8"/>
      <c r="CX1407" s="8"/>
      <c r="CY1407" s="8"/>
      <c r="CZ1407" s="8"/>
      <c r="DA1407" s="8"/>
      <c r="DB1407" s="8"/>
      <c r="DC1407" s="8"/>
      <c r="DD1407" s="8"/>
      <c r="DE1407" s="8"/>
      <c r="DF1407" s="8"/>
      <c r="DG1407" s="8"/>
      <c r="DH1407" s="8"/>
      <c r="DI1407" s="8"/>
      <c r="DJ1407" s="8"/>
      <c r="DK1407" s="8"/>
      <c r="DL1407" s="8"/>
      <c r="DM1407" s="8"/>
      <c r="DN1407" s="8"/>
      <c r="DO1407" s="8"/>
      <c r="DP1407" s="8"/>
      <c r="DQ1407" s="8"/>
      <c r="DR1407" s="8"/>
      <c r="DS1407" s="8"/>
      <c r="DT1407" s="8"/>
      <c r="DU1407" s="8"/>
      <c r="DV1407" s="8"/>
      <c r="DW1407" s="8"/>
      <c r="DX1407" s="8"/>
      <c r="DY1407" s="8"/>
      <c r="DZ1407" s="8"/>
      <c r="EA1407" s="8"/>
      <c r="EB1407" s="8"/>
      <c r="EC1407" s="8"/>
      <c r="ED1407" s="8"/>
      <c r="EE1407" s="8"/>
      <c r="EF1407" s="8"/>
      <c r="EG1407" s="8"/>
      <c r="EH1407" s="8"/>
      <c r="EI1407" s="8"/>
      <c r="EJ1407" s="8"/>
      <c r="EK1407" s="8"/>
      <c r="EL1407" s="8"/>
      <c r="EM1407" s="8"/>
      <c r="EN1407" s="8"/>
      <c r="EO1407" s="8"/>
      <c r="EP1407" s="8"/>
      <c r="EQ1407" s="8"/>
      <c r="ER1407" s="8"/>
      <c r="ES1407" s="8"/>
      <c r="ET1407" s="8"/>
      <c r="EU1407" s="8"/>
      <c r="EV1407" s="8"/>
      <c r="EW1407" s="8"/>
      <c r="EX1407" s="8"/>
      <c r="EY1407" s="8"/>
      <c r="EZ1407" s="8"/>
      <c r="FA1407" s="8"/>
      <c r="FB1407" s="8"/>
      <c r="FC1407" s="8"/>
      <c r="FD1407" s="8"/>
      <c r="FE1407" s="8"/>
      <c r="FF1407" s="8"/>
      <c r="FG1407" s="8"/>
      <c r="FH1407" s="8"/>
      <c r="FI1407" s="8"/>
      <c r="FJ1407" s="8"/>
      <c r="FK1407" s="8"/>
      <c r="FL1407" s="8"/>
      <c r="FM1407" s="8"/>
      <c r="FN1407" s="8"/>
      <c r="FO1407" s="8"/>
      <c r="FP1407" s="8"/>
      <c r="FQ1407" s="8"/>
      <c r="FR1407" s="8"/>
      <c r="FS1407" s="8"/>
      <c r="FT1407" s="8"/>
      <c r="FU1407" s="8"/>
      <c r="FV1407" s="8"/>
      <c r="FW1407" s="8"/>
      <c r="FX1407" s="8"/>
      <c r="FY1407" s="8"/>
      <c r="FZ1407" s="8"/>
      <c r="GA1407" s="8"/>
      <c r="GB1407" s="8"/>
      <c r="GC1407" s="8"/>
      <c r="GD1407" s="8"/>
      <c r="GE1407" s="8"/>
      <c r="GF1407" s="8"/>
      <c r="GG1407" s="8"/>
      <c r="GH1407" s="8"/>
      <c r="GI1407" s="8"/>
      <c r="GJ1407" s="8"/>
      <c r="GK1407" s="8"/>
      <c r="GL1407" s="8"/>
      <c r="GM1407" s="8"/>
      <c r="GN1407" s="8"/>
      <c r="GO1407" s="8"/>
      <c r="GP1407" s="8"/>
      <c r="GQ1407" s="8"/>
      <c r="GR1407" s="8"/>
      <c r="GS1407" s="8"/>
      <c r="GT1407" s="8"/>
      <c r="GU1407" s="8"/>
      <c r="GV1407" s="8"/>
      <c r="GW1407" s="8"/>
      <c r="GX1407" s="8"/>
      <c r="GY1407" s="8"/>
      <c r="GZ1407" s="8"/>
      <c r="HA1407" s="8"/>
      <c r="HB1407" s="8"/>
      <c r="HC1407" s="8"/>
      <c r="HD1407" s="8"/>
      <c r="HE1407" s="8"/>
      <c r="HF1407" s="8"/>
      <c r="HG1407" s="8"/>
      <c r="HH1407" s="8"/>
      <c r="HI1407" s="8"/>
      <c r="HJ1407" s="8"/>
      <c r="HK1407" s="8"/>
      <c r="HL1407" s="8"/>
      <c r="HM1407" s="8"/>
      <c r="HN1407" s="8"/>
      <c r="HO1407" s="8"/>
      <c r="HP1407" s="8"/>
      <c r="HQ1407" s="8"/>
      <c r="HR1407" s="8"/>
      <c r="HS1407" s="8"/>
      <c r="HT1407" s="8"/>
      <c r="HU1407" s="8"/>
      <c r="HV1407" s="8"/>
      <c r="HW1407" s="8"/>
      <c r="HX1407" s="8"/>
      <c r="HY1407" s="8"/>
      <c r="HZ1407" s="8"/>
      <c r="IA1407" s="8"/>
      <c r="IB1407" s="8"/>
      <c r="IC1407" s="8"/>
      <c r="ID1407" s="8"/>
      <c r="IE1407" s="8"/>
      <c r="IF1407" s="8"/>
    </row>
    <row r="1408" spans="1:240">
      <c r="A1408" s="14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8"/>
      <c r="AP1408" s="8"/>
      <c r="AQ1408" s="8"/>
      <c r="AR1408" s="8"/>
      <c r="AS1408" s="8"/>
      <c r="AT1408" s="8"/>
      <c r="AU1408" s="8"/>
      <c r="AV1408" s="8"/>
      <c r="AW1408" s="8"/>
      <c r="AX1408" s="8"/>
      <c r="AY1408" s="8"/>
      <c r="AZ1408" s="8"/>
      <c r="BA1408" s="8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8"/>
      <c r="BS1408" s="8"/>
      <c r="BT1408" s="8"/>
      <c r="BU1408" s="8"/>
      <c r="BV1408" s="8"/>
      <c r="BW1408" s="8"/>
      <c r="BX1408" s="8"/>
      <c r="BY1408" s="8"/>
      <c r="BZ1408" s="8"/>
      <c r="CA1408" s="8"/>
      <c r="CB1408" s="8"/>
      <c r="CC1408" s="8"/>
      <c r="CD1408" s="8"/>
      <c r="CE1408" s="8"/>
      <c r="CF1408" s="8"/>
      <c r="CG1408" s="8"/>
      <c r="CH1408" s="8"/>
      <c r="CI1408" s="8"/>
      <c r="CJ1408" s="8"/>
      <c r="CK1408" s="8"/>
      <c r="CL1408" s="8"/>
      <c r="CM1408" s="8"/>
      <c r="CN1408" s="8"/>
      <c r="CO1408" s="8"/>
      <c r="CP1408" s="8"/>
      <c r="CQ1408" s="8"/>
      <c r="CR1408" s="8"/>
      <c r="CS1408" s="8"/>
      <c r="CT1408" s="8"/>
      <c r="CU1408" s="8"/>
      <c r="CV1408" s="8"/>
      <c r="CW1408" s="8"/>
      <c r="CX1408" s="8"/>
      <c r="CY1408" s="8"/>
      <c r="CZ1408" s="8"/>
      <c r="DA1408" s="8"/>
      <c r="DB1408" s="8"/>
      <c r="DC1408" s="8"/>
      <c r="DD1408" s="8"/>
      <c r="DE1408" s="8"/>
      <c r="DF1408" s="8"/>
      <c r="DG1408" s="8"/>
      <c r="DH1408" s="8"/>
      <c r="DI1408" s="8"/>
      <c r="DJ1408" s="8"/>
      <c r="DK1408" s="8"/>
      <c r="DL1408" s="8"/>
      <c r="DM1408" s="8"/>
      <c r="DN1408" s="8"/>
      <c r="DO1408" s="8"/>
      <c r="DP1408" s="8"/>
      <c r="DQ1408" s="8"/>
      <c r="DR1408" s="8"/>
      <c r="DS1408" s="8"/>
      <c r="DT1408" s="8"/>
      <c r="DU1408" s="8"/>
      <c r="DV1408" s="8"/>
      <c r="DW1408" s="8"/>
      <c r="DX1408" s="8"/>
      <c r="DY1408" s="8"/>
      <c r="DZ1408" s="8"/>
      <c r="EA1408" s="8"/>
      <c r="EB1408" s="8"/>
      <c r="EC1408" s="8"/>
      <c r="ED1408" s="8"/>
      <c r="EE1408" s="8"/>
      <c r="EF1408" s="8"/>
      <c r="EG1408" s="8"/>
      <c r="EH1408" s="8"/>
      <c r="EI1408" s="8"/>
      <c r="EJ1408" s="8"/>
      <c r="EK1408" s="8"/>
      <c r="EL1408" s="8"/>
      <c r="EM1408" s="8"/>
      <c r="EN1408" s="8"/>
      <c r="EO1408" s="8"/>
      <c r="EP1408" s="8"/>
      <c r="EQ1408" s="8"/>
      <c r="ER1408" s="8"/>
      <c r="ES1408" s="8"/>
      <c r="ET1408" s="8"/>
      <c r="EU1408" s="8"/>
      <c r="EV1408" s="8"/>
      <c r="EW1408" s="8"/>
      <c r="EX1408" s="8"/>
      <c r="EY1408" s="8"/>
      <c r="EZ1408" s="8"/>
      <c r="FA1408" s="8"/>
      <c r="FB1408" s="8"/>
      <c r="FC1408" s="8"/>
      <c r="FD1408" s="8"/>
      <c r="FE1408" s="8"/>
      <c r="FF1408" s="8"/>
      <c r="FG1408" s="8"/>
      <c r="FH1408" s="8"/>
      <c r="FI1408" s="8"/>
      <c r="FJ1408" s="8"/>
      <c r="FK1408" s="8"/>
      <c r="FL1408" s="8"/>
      <c r="FM1408" s="8"/>
      <c r="FN1408" s="8"/>
      <c r="FO1408" s="8"/>
      <c r="FP1408" s="8"/>
      <c r="FQ1408" s="8"/>
      <c r="FR1408" s="8"/>
      <c r="FS1408" s="8"/>
      <c r="FT1408" s="8"/>
      <c r="FU1408" s="8"/>
      <c r="FV1408" s="8"/>
      <c r="FW1408" s="8"/>
      <c r="FX1408" s="8"/>
      <c r="FY1408" s="8"/>
      <c r="FZ1408" s="8"/>
      <c r="GA1408" s="8"/>
      <c r="GB1408" s="8"/>
      <c r="GC1408" s="8"/>
      <c r="GD1408" s="8"/>
      <c r="GE1408" s="8"/>
      <c r="GF1408" s="8"/>
      <c r="GG1408" s="8"/>
      <c r="GH1408" s="8"/>
      <c r="GI1408" s="8"/>
      <c r="GJ1408" s="8"/>
      <c r="GK1408" s="8"/>
      <c r="GL1408" s="8"/>
      <c r="GM1408" s="8"/>
      <c r="GN1408" s="8"/>
      <c r="GO1408" s="8"/>
      <c r="GP1408" s="8"/>
      <c r="GQ1408" s="8"/>
      <c r="GR1408" s="8"/>
      <c r="GS1408" s="8"/>
      <c r="GT1408" s="8"/>
      <c r="GU1408" s="8"/>
      <c r="GV1408" s="8"/>
      <c r="GW1408" s="8"/>
      <c r="GX1408" s="8"/>
      <c r="GY1408" s="8"/>
      <c r="GZ1408" s="8"/>
      <c r="HA1408" s="8"/>
      <c r="HB1408" s="8"/>
      <c r="HC1408" s="8"/>
      <c r="HD1408" s="8"/>
      <c r="HE1408" s="8"/>
      <c r="HF1408" s="8"/>
      <c r="HG1408" s="8"/>
      <c r="HH1408" s="8"/>
      <c r="HI1408" s="8"/>
      <c r="HJ1408" s="8"/>
      <c r="HK1408" s="8"/>
      <c r="HL1408" s="8"/>
      <c r="HM1408" s="8"/>
      <c r="HN1408" s="8"/>
      <c r="HO1408" s="8"/>
      <c r="HP1408" s="8"/>
      <c r="HQ1408" s="8"/>
      <c r="HR1408" s="8"/>
      <c r="HS1408" s="8"/>
      <c r="HT1408" s="8"/>
      <c r="HU1408" s="8"/>
      <c r="HV1408" s="8"/>
      <c r="HW1408" s="8"/>
      <c r="HX1408" s="8"/>
      <c r="HY1408" s="8"/>
      <c r="HZ1408" s="8"/>
      <c r="IA1408" s="8"/>
      <c r="IB1408" s="8"/>
      <c r="IC1408" s="8"/>
      <c r="ID1408" s="8"/>
      <c r="IE1408" s="8"/>
      <c r="IF1408" s="8"/>
    </row>
    <row r="1409" spans="1:240">
      <c r="A1409" s="14"/>
      <c r="B1409" s="23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8"/>
      <c r="BS1409" s="8"/>
      <c r="BT1409" s="8"/>
      <c r="BU1409" s="8"/>
      <c r="BV1409" s="8"/>
      <c r="BW1409" s="8"/>
      <c r="BX1409" s="8"/>
      <c r="BY1409" s="8"/>
      <c r="BZ1409" s="8"/>
      <c r="CA1409" s="8"/>
      <c r="CB1409" s="8"/>
      <c r="CC1409" s="8"/>
      <c r="CD1409" s="8"/>
      <c r="CE1409" s="8"/>
      <c r="CF1409" s="8"/>
      <c r="CG1409" s="8"/>
      <c r="CH1409" s="8"/>
      <c r="CI1409" s="8"/>
      <c r="CJ1409" s="8"/>
      <c r="CK1409" s="8"/>
      <c r="CL1409" s="8"/>
      <c r="CM1409" s="8"/>
      <c r="CN1409" s="8"/>
      <c r="CO1409" s="8"/>
      <c r="CP1409" s="8"/>
      <c r="CQ1409" s="8"/>
      <c r="CR1409" s="8"/>
      <c r="CS1409" s="8"/>
      <c r="CT1409" s="8"/>
      <c r="CU1409" s="8"/>
      <c r="CV1409" s="8"/>
      <c r="CW1409" s="8"/>
      <c r="CX1409" s="8"/>
      <c r="CY1409" s="8"/>
      <c r="CZ1409" s="8"/>
      <c r="DA1409" s="8"/>
      <c r="DB1409" s="8"/>
      <c r="DC1409" s="8"/>
      <c r="DD1409" s="8"/>
      <c r="DE1409" s="8"/>
      <c r="DF1409" s="8"/>
      <c r="DG1409" s="8"/>
      <c r="DH1409" s="8"/>
      <c r="DI1409" s="8"/>
      <c r="DJ1409" s="8"/>
      <c r="DK1409" s="8"/>
      <c r="DL1409" s="8"/>
      <c r="DM1409" s="8"/>
      <c r="DN1409" s="8"/>
      <c r="DO1409" s="8"/>
      <c r="DP1409" s="8"/>
      <c r="DQ1409" s="8"/>
      <c r="DR1409" s="8"/>
      <c r="DS1409" s="8"/>
      <c r="DT1409" s="8"/>
      <c r="DU1409" s="8"/>
      <c r="DV1409" s="8"/>
      <c r="DW1409" s="8"/>
      <c r="DX1409" s="8"/>
      <c r="DY1409" s="8"/>
      <c r="DZ1409" s="8"/>
      <c r="EA1409" s="8"/>
      <c r="EB1409" s="8"/>
      <c r="EC1409" s="8"/>
      <c r="ED1409" s="8"/>
      <c r="EE1409" s="8"/>
      <c r="EF1409" s="8"/>
      <c r="EG1409" s="8"/>
      <c r="EH1409" s="8"/>
      <c r="EI1409" s="8"/>
      <c r="EJ1409" s="8"/>
      <c r="EK1409" s="8"/>
      <c r="EL1409" s="8"/>
      <c r="EM1409" s="8"/>
      <c r="EN1409" s="8"/>
      <c r="EO1409" s="8"/>
      <c r="EP1409" s="8"/>
      <c r="EQ1409" s="8"/>
      <c r="ER1409" s="8"/>
      <c r="ES1409" s="8"/>
      <c r="ET1409" s="8"/>
      <c r="EU1409" s="8"/>
      <c r="EV1409" s="8"/>
      <c r="EW1409" s="8"/>
      <c r="EX1409" s="8"/>
      <c r="EY1409" s="8"/>
      <c r="EZ1409" s="8"/>
      <c r="FA1409" s="8"/>
      <c r="FB1409" s="8"/>
      <c r="FC1409" s="8"/>
      <c r="FD1409" s="8"/>
      <c r="FE1409" s="8"/>
      <c r="FF1409" s="8"/>
      <c r="FG1409" s="8"/>
      <c r="FH1409" s="8"/>
      <c r="FI1409" s="8"/>
      <c r="FJ1409" s="8"/>
      <c r="FK1409" s="8"/>
      <c r="FL1409" s="8"/>
      <c r="FM1409" s="8"/>
      <c r="FN1409" s="8"/>
      <c r="FO1409" s="8"/>
      <c r="FP1409" s="8"/>
      <c r="FQ1409" s="8"/>
      <c r="FR1409" s="8"/>
      <c r="FS1409" s="8"/>
      <c r="FT1409" s="8"/>
      <c r="FU1409" s="8"/>
      <c r="FV1409" s="8"/>
      <c r="FW1409" s="8"/>
      <c r="FX1409" s="8"/>
      <c r="FY1409" s="8"/>
      <c r="FZ1409" s="8"/>
      <c r="GA1409" s="8"/>
      <c r="GB1409" s="8"/>
      <c r="GC1409" s="8"/>
      <c r="GD1409" s="8"/>
      <c r="GE1409" s="8"/>
      <c r="GF1409" s="8"/>
      <c r="GG1409" s="8"/>
      <c r="GH1409" s="8"/>
      <c r="GI1409" s="8"/>
      <c r="GJ1409" s="8"/>
      <c r="GK1409" s="8"/>
      <c r="GL1409" s="8"/>
      <c r="GM1409" s="8"/>
      <c r="GN1409" s="8"/>
      <c r="GO1409" s="8"/>
      <c r="GP1409" s="8"/>
      <c r="GQ1409" s="8"/>
      <c r="GR1409" s="8"/>
      <c r="GS1409" s="8"/>
      <c r="GT1409" s="8"/>
      <c r="GU1409" s="8"/>
      <c r="GV1409" s="8"/>
      <c r="GW1409" s="8"/>
      <c r="GX1409" s="8"/>
      <c r="GY1409" s="8"/>
      <c r="GZ1409" s="8"/>
      <c r="HA1409" s="8"/>
      <c r="HB1409" s="8"/>
      <c r="HC1409" s="8"/>
      <c r="HD1409" s="8"/>
      <c r="HE1409" s="8"/>
      <c r="HF1409" s="8"/>
      <c r="HG1409" s="8"/>
      <c r="HH1409" s="8"/>
      <c r="HI1409" s="8"/>
      <c r="HJ1409" s="8"/>
      <c r="HK1409" s="8"/>
      <c r="HL1409" s="8"/>
      <c r="HM1409" s="8"/>
      <c r="HN1409" s="8"/>
      <c r="HO1409" s="8"/>
      <c r="HP1409" s="8"/>
      <c r="HQ1409" s="8"/>
      <c r="HR1409" s="8"/>
      <c r="HS1409" s="8"/>
      <c r="HT1409" s="8"/>
      <c r="HU1409" s="8"/>
      <c r="HV1409" s="8"/>
      <c r="HW1409" s="8"/>
      <c r="HX1409" s="8"/>
      <c r="HY1409" s="8"/>
      <c r="HZ1409" s="8"/>
      <c r="IA1409" s="8"/>
      <c r="IB1409" s="8"/>
      <c r="IC1409" s="8"/>
      <c r="ID1409" s="8"/>
      <c r="IE1409" s="8"/>
      <c r="IF1409" s="8"/>
    </row>
    <row r="1410" spans="1:240">
      <c r="A1410" s="14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8"/>
      <c r="AP1410" s="8"/>
      <c r="AQ1410" s="8"/>
      <c r="AR1410" s="8"/>
      <c r="AS1410" s="8"/>
      <c r="AT1410" s="8"/>
      <c r="AU1410" s="8"/>
      <c r="AV1410" s="8"/>
      <c r="AW1410" s="8"/>
      <c r="AX1410" s="8"/>
      <c r="AY1410" s="8"/>
      <c r="AZ1410" s="8"/>
      <c r="BA1410" s="8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8"/>
      <c r="BS1410" s="8"/>
      <c r="BT1410" s="8"/>
      <c r="BU1410" s="8"/>
      <c r="BV1410" s="8"/>
      <c r="BW1410" s="8"/>
      <c r="BX1410" s="8"/>
      <c r="BY1410" s="8"/>
      <c r="BZ1410" s="8"/>
      <c r="CA1410" s="8"/>
      <c r="CB1410" s="8"/>
      <c r="CC1410" s="8"/>
      <c r="CD1410" s="8"/>
      <c r="CE1410" s="8"/>
      <c r="CF1410" s="8"/>
      <c r="CG1410" s="8"/>
      <c r="CH1410" s="8"/>
      <c r="CI1410" s="8"/>
      <c r="CJ1410" s="8"/>
      <c r="CK1410" s="8"/>
      <c r="CL1410" s="8"/>
      <c r="CM1410" s="8"/>
      <c r="CN1410" s="8"/>
      <c r="CO1410" s="8"/>
      <c r="CP1410" s="8"/>
      <c r="CQ1410" s="8"/>
      <c r="CR1410" s="8"/>
      <c r="CS1410" s="8"/>
      <c r="CT1410" s="8"/>
      <c r="CU1410" s="8"/>
      <c r="CV1410" s="8"/>
      <c r="CW1410" s="8"/>
      <c r="CX1410" s="8"/>
      <c r="CY1410" s="8"/>
      <c r="CZ1410" s="8"/>
      <c r="DA1410" s="8"/>
      <c r="DB1410" s="8"/>
      <c r="DC1410" s="8"/>
      <c r="DD1410" s="8"/>
      <c r="DE1410" s="8"/>
      <c r="DF1410" s="8"/>
      <c r="DG1410" s="8"/>
      <c r="DH1410" s="8"/>
      <c r="DI1410" s="8"/>
      <c r="DJ1410" s="8"/>
      <c r="DK1410" s="8"/>
      <c r="DL1410" s="8"/>
      <c r="DM1410" s="8"/>
      <c r="DN1410" s="8"/>
      <c r="DO1410" s="8"/>
      <c r="DP1410" s="8"/>
      <c r="DQ1410" s="8"/>
      <c r="DR1410" s="8"/>
      <c r="DS1410" s="8"/>
      <c r="DT1410" s="8"/>
      <c r="DU1410" s="8"/>
      <c r="DV1410" s="8"/>
      <c r="DW1410" s="8"/>
      <c r="DX1410" s="8"/>
      <c r="DY1410" s="8"/>
      <c r="DZ1410" s="8"/>
      <c r="EA1410" s="8"/>
      <c r="EB1410" s="8"/>
      <c r="EC1410" s="8"/>
      <c r="ED1410" s="8"/>
      <c r="EE1410" s="8"/>
      <c r="EF1410" s="8"/>
      <c r="EG1410" s="8"/>
      <c r="EH1410" s="8"/>
      <c r="EI1410" s="8"/>
      <c r="EJ1410" s="8"/>
      <c r="EK1410" s="8"/>
      <c r="EL1410" s="8"/>
      <c r="EM1410" s="8"/>
      <c r="EN1410" s="8"/>
      <c r="EO1410" s="8"/>
      <c r="EP1410" s="8"/>
      <c r="EQ1410" s="8"/>
      <c r="ER1410" s="8"/>
      <c r="ES1410" s="8"/>
      <c r="ET1410" s="8"/>
      <c r="EU1410" s="8"/>
      <c r="EV1410" s="8"/>
      <c r="EW1410" s="8"/>
      <c r="EX1410" s="8"/>
      <c r="EY1410" s="8"/>
      <c r="EZ1410" s="8"/>
      <c r="FA1410" s="8"/>
      <c r="FB1410" s="8"/>
      <c r="FC1410" s="8"/>
      <c r="FD1410" s="8"/>
      <c r="FE1410" s="8"/>
      <c r="FF1410" s="8"/>
      <c r="FG1410" s="8"/>
      <c r="FH1410" s="8"/>
      <c r="FI1410" s="8"/>
      <c r="FJ1410" s="8"/>
      <c r="FK1410" s="8"/>
      <c r="FL1410" s="8"/>
      <c r="FM1410" s="8"/>
      <c r="FN1410" s="8"/>
      <c r="FO1410" s="8"/>
      <c r="FP1410" s="8"/>
      <c r="FQ1410" s="8"/>
      <c r="FR1410" s="8"/>
      <c r="FS1410" s="8"/>
      <c r="FT1410" s="8"/>
      <c r="FU1410" s="8"/>
      <c r="FV1410" s="8"/>
      <c r="FW1410" s="8"/>
      <c r="FX1410" s="8"/>
      <c r="FY1410" s="8"/>
      <c r="FZ1410" s="8"/>
      <c r="GA1410" s="8"/>
      <c r="GB1410" s="8"/>
      <c r="GC1410" s="8"/>
      <c r="GD1410" s="8"/>
      <c r="GE1410" s="8"/>
      <c r="GF1410" s="8"/>
      <c r="GG1410" s="8"/>
      <c r="GH1410" s="8"/>
      <c r="GI1410" s="8"/>
      <c r="GJ1410" s="8"/>
      <c r="GK1410" s="8"/>
      <c r="GL1410" s="8"/>
      <c r="GM1410" s="8"/>
      <c r="GN1410" s="8"/>
      <c r="GO1410" s="8"/>
      <c r="GP1410" s="8"/>
      <c r="GQ1410" s="8"/>
      <c r="GR1410" s="8"/>
      <c r="GS1410" s="8"/>
      <c r="GT1410" s="8"/>
      <c r="GU1410" s="8"/>
      <c r="GV1410" s="8"/>
      <c r="GW1410" s="8"/>
      <c r="GX1410" s="8"/>
      <c r="GY1410" s="8"/>
      <c r="GZ1410" s="8"/>
      <c r="HA1410" s="8"/>
      <c r="HB1410" s="8"/>
      <c r="HC1410" s="8"/>
      <c r="HD1410" s="8"/>
      <c r="HE1410" s="8"/>
      <c r="HF1410" s="8"/>
      <c r="HG1410" s="8"/>
      <c r="HH1410" s="8"/>
      <c r="HI1410" s="8"/>
      <c r="HJ1410" s="8"/>
      <c r="HK1410" s="8"/>
      <c r="HL1410" s="8"/>
      <c r="HM1410" s="8"/>
      <c r="HN1410" s="8"/>
      <c r="HO1410" s="8"/>
      <c r="HP1410" s="8"/>
      <c r="HQ1410" s="8"/>
      <c r="HR1410" s="8"/>
      <c r="HS1410" s="8"/>
      <c r="HT1410" s="8"/>
      <c r="HU1410" s="8"/>
      <c r="HV1410" s="8"/>
      <c r="HW1410" s="8"/>
      <c r="HX1410" s="8"/>
      <c r="HY1410" s="8"/>
      <c r="HZ1410" s="8"/>
      <c r="IA1410" s="8"/>
      <c r="IB1410" s="8"/>
      <c r="IC1410" s="8"/>
      <c r="ID1410" s="8"/>
      <c r="IE1410" s="8"/>
      <c r="IF1410" s="8"/>
    </row>
    <row r="1411" spans="1:240">
      <c r="A1411" s="14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8"/>
      <c r="AP1411" s="8"/>
      <c r="AQ1411" s="8"/>
      <c r="AR1411" s="8"/>
      <c r="AS1411" s="8"/>
      <c r="AT1411" s="8"/>
      <c r="AU1411" s="8"/>
      <c r="AV1411" s="8"/>
      <c r="AW1411" s="8"/>
      <c r="AX1411" s="8"/>
      <c r="AY1411" s="8"/>
      <c r="AZ1411" s="8"/>
      <c r="BA1411" s="8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8"/>
      <c r="BS1411" s="8"/>
      <c r="BT1411" s="8"/>
      <c r="BU1411" s="8"/>
      <c r="BV1411" s="8"/>
      <c r="BW1411" s="8"/>
      <c r="BX1411" s="8"/>
      <c r="BY1411" s="8"/>
      <c r="BZ1411" s="8"/>
      <c r="CA1411" s="8"/>
      <c r="CB1411" s="8"/>
      <c r="CC1411" s="8"/>
      <c r="CD1411" s="8"/>
      <c r="CE1411" s="8"/>
      <c r="CF1411" s="8"/>
      <c r="CG1411" s="8"/>
      <c r="CH1411" s="8"/>
      <c r="CI1411" s="8"/>
      <c r="CJ1411" s="8"/>
      <c r="CK1411" s="8"/>
      <c r="CL1411" s="8"/>
      <c r="CM1411" s="8"/>
      <c r="CN1411" s="8"/>
      <c r="CO1411" s="8"/>
      <c r="CP1411" s="8"/>
      <c r="CQ1411" s="8"/>
      <c r="CR1411" s="8"/>
      <c r="CS1411" s="8"/>
      <c r="CT1411" s="8"/>
      <c r="CU1411" s="8"/>
      <c r="CV1411" s="8"/>
      <c r="CW1411" s="8"/>
      <c r="CX1411" s="8"/>
      <c r="CY1411" s="8"/>
      <c r="CZ1411" s="8"/>
      <c r="DA1411" s="8"/>
      <c r="DB1411" s="8"/>
      <c r="DC1411" s="8"/>
      <c r="DD1411" s="8"/>
      <c r="DE1411" s="8"/>
      <c r="DF1411" s="8"/>
      <c r="DG1411" s="8"/>
      <c r="DH1411" s="8"/>
      <c r="DI1411" s="8"/>
      <c r="DJ1411" s="8"/>
      <c r="DK1411" s="8"/>
      <c r="DL1411" s="8"/>
      <c r="DM1411" s="8"/>
      <c r="DN1411" s="8"/>
      <c r="DO1411" s="8"/>
      <c r="DP1411" s="8"/>
      <c r="DQ1411" s="8"/>
      <c r="DR1411" s="8"/>
      <c r="DS1411" s="8"/>
      <c r="DT1411" s="8"/>
      <c r="DU1411" s="8"/>
      <c r="DV1411" s="8"/>
      <c r="DW1411" s="8"/>
      <c r="DX1411" s="8"/>
      <c r="DY1411" s="8"/>
      <c r="DZ1411" s="8"/>
      <c r="EA1411" s="8"/>
      <c r="EB1411" s="8"/>
      <c r="EC1411" s="8"/>
      <c r="ED1411" s="8"/>
      <c r="EE1411" s="8"/>
      <c r="EF1411" s="8"/>
      <c r="EG1411" s="8"/>
      <c r="EH1411" s="8"/>
      <c r="EI1411" s="8"/>
      <c r="EJ1411" s="8"/>
      <c r="EK1411" s="8"/>
      <c r="EL1411" s="8"/>
      <c r="EM1411" s="8"/>
      <c r="EN1411" s="8"/>
      <c r="EO1411" s="8"/>
      <c r="EP1411" s="8"/>
      <c r="EQ1411" s="8"/>
      <c r="ER1411" s="8"/>
      <c r="ES1411" s="8"/>
      <c r="ET1411" s="8"/>
      <c r="EU1411" s="8"/>
      <c r="EV1411" s="8"/>
      <c r="EW1411" s="8"/>
      <c r="EX1411" s="8"/>
      <c r="EY1411" s="8"/>
      <c r="EZ1411" s="8"/>
      <c r="FA1411" s="8"/>
      <c r="FB1411" s="8"/>
      <c r="FC1411" s="8"/>
      <c r="FD1411" s="8"/>
      <c r="FE1411" s="8"/>
      <c r="FF1411" s="8"/>
      <c r="FG1411" s="8"/>
      <c r="FH1411" s="8"/>
      <c r="FI1411" s="8"/>
      <c r="FJ1411" s="8"/>
      <c r="FK1411" s="8"/>
      <c r="FL1411" s="8"/>
      <c r="FM1411" s="8"/>
      <c r="FN1411" s="8"/>
      <c r="FO1411" s="8"/>
      <c r="FP1411" s="8"/>
      <c r="FQ1411" s="8"/>
      <c r="FR1411" s="8"/>
      <c r="FS1411" s="8"/>
      <c r="FT1411" s="8"/>
      <c r="FU1411" s="8"/>
      <c r="FV1411" s="8"/>
      <c r="FW1411" s="8"/>
      <c r="FX1411" s="8"/>
      <c r="FY1411" s="8"/>
      <c r="FZ1411" s="8"/>
      <c r="GA1411" s="8"/>
      <c r="GB1411" s="8"/>
      <c r="GC1411" s="8"/>
      <c r="GD1411" s="8"/>
      <c r="GE1411" s="8"/>
      <c r="GF1411" s="8"/>
      <c r="GG1411" s="8"/>
      <c r="GH1411" s="8"/>
      <c r="GI1411" s="8"/>
      <c r="GJ1411" s="8"/>
      <c r="GK1411" s="8"/>
      <c r="GL1411" s="8"/>
      <c r="GM1411" s="8"/>
      <c r="GN1411" s="8"/>
      <c r="GO1411" s="8"/>
      <c r="GP1411" s="8"/>
      <c r="GQ1411" s="8"/>
      <c r="GR1411" s="8"/>
      <c r="GS1411" s="8"/>
      <c r="GT1411" s="8"/>
      <c r="GU1411" s="8"/>
      <c r="GV1411" s="8"/>
      <c r="GW1411" s="8"/>
      <c r="GX1411" s="8"/>
      <c r="GY1411" s="8"/>
      <c r="GZ1411" s="8"/>
      <c r="HA1411" s="8"/>
      <c r="HB1411" s="8"/>
      <c r="HC1411" s="8"/>
      <c r="HD1411" s="8"/>
      <c r="HE1411" s="8"/>
      <c r="HF1411" s="8"/>
      <c r="HG1411" s="8"/>
      <c r="HH1411" s="8"/>
      <c r="HI1411" s="8"/>
      <c r="HJ1411" s="8"/>
      <c r="HK1411" s="8"/>
      <c r="HL1411" s="8"/>
      <c r="HM1411" s="8"/>
      <c r="HN1411" s="8"/>
      <c r="HO1411" s="8"/>
      <c r="HP1411" s="8"/>
      <c r="HQ1411" s="8"/>
      <c r="HR1411" s="8"/>
      <c r="HS1411" s="8"/>
      <c r="HT1411" s="8"/>
      <c r="HU1411" s="8"/>
      <c r="HV1411" s="8"/>
      <c r="HW1411" s="8"/>
      <c r="HX1411" s="8"/>
      <c r="HY1411" s="8"/>
      <c r="HZ1411" s="8"/>
      <c r="IA1411" s="8"/>
      <c r="IB1411" s="8"/>
      <c r="IC1411" s="8"/>
      <c r="ID1411" s="8"/>
      <c r="IE1411" s="8"/>
      <c r="IF1411" s="8"/>
    </row>
    <row r="1412" spans="1:240">
      <c r="A1412" s="14"/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8"/>
      <c r="AP1412" s="8"/>
      <c r="AQ1412" s="8"/>
      <c r="AR1412" s="8"/>
      <c r="AS1412" s="8"/>
      <c r="AT1412" s="8"/>
      <c r="AU1412" s="8"/>
      <c r="AV1412" s="8"/>
      <c r="AW1412" s="8"/>
      <c r="AX1412" s="8"/>
      <c r="AY1412" s="8"/>
      <c r="AZ1412" s="8"/>
      <c r="BA1412" s="8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8"/>
      <c r="BS1412" s="8"/>
      <c r="BT1412" s="8"/>
      <c r="BU1412" s="8"/>
      <c r="BV1412" s="8"/>
      <c r="BW1412" s="8"/>
      <c r="BX1412" s="8"/>
      <c r="BY1412" s="8"/>
      <c r="BZ1412" s="8"/>
      <c r="CA1412" s="8"/>
      <c r="CB1412" s="8"/>
      <c r="CC1412" s="8"/>
      <c r="CD1412" s="8"/>
      <c r="CE1412" s="8"/>
      <c r="CF1412" s="8"/>
      <c r="CG1412" s="8"/>
      <c r="CH1412" s="8"/>
      <c r="CI1412" s="8"/>
      <c r="CJ1412" s="8"/>
      <c r="CK1412" s="8"/>
      <c r="CL1412" s="8"/>
      <c r="CM1412" s="8"/>
      <c r="CN1412" s="8"/>
      <c r="CO1412" s="8"/>
      <c r="CP1412" s="8"/>
      <c r="CQ1412" s="8"/>
      <c r="CR1412" s="8"/>
      <c r="CS1412" s="8"/>
      <c r="CT1412" s="8"/>
      <c r="CU1412" s="8"/>
      <c r="CV1412" s="8"/>
      <c r="CW1412" s="8"/>
      <c r="CX1412" s="8"/>
      <c r="CY1412" s="8"/>
      <c r="CZ1412" s="8"/>
      <c r="DA1412" s="8"/>
      <c r="DB1412" s="8"/>
      <c r="DC1412" s="8"/>
      <c r="DD1412" s="8"/>
      <c r="DE1412" s="8"/>
      <c r="DF1412" s="8"/>
      <c r="DG1412" s="8"/>
      <c r="DH1412" s="8"/>
      <c r="DI1412" s="8"/>
      <c r="DJ1412" s="8"/>
      <c r="DK1412" s="8"/>
      <c r="DL1412" s="8"/>
      <c r="DM1412" s="8"/>
      <c r="DN1412" s="8"/>
      <c r="DO1412" s="8"/>
      <c r="DP1412" s="8"/>
      <c r="DQ1412" s="8"/>
      <c r="DR1412" s="8"/>
      <c r="DS1412" s="8"/>
      <c r="DT1412" s="8"/>
      <c r="DU1412" s="8"/>
      <c r="DV1412" s="8"/>
      <c r="DW1412" s="8"/>
      <c r="DX1412" s="8"/>
      <c r="DY1412" s="8"/>
      <c r="DZ1412" s="8"/>
      <c r="EA1412" s="8"/>
      <c r="EB1412" s="8"/>
      <c r="EC1412" s="8"/>
      <c r="ED1412" s="8"/>
      <c r="EE1412" s="8"/>
      <c r="EF1412" s="8"/>
      <c r="EG1412" s="8"/>
      <c r="EH1412" s="8"/>
      <c r="EI1412" s="8"/>
      <c r="EJ1412" s="8"/>
      <c r="EK1412" s="8"/>
      <c r="EL1412" s="8"/>
      <c r="EM1412" s="8"/>
      <c r="EN1412" s="8"/>
      <c r="EO1412" s="8"/>
      <c r="EP1412" s="8"/>
      <c r="EQ1412" s="8"/>
      <c r="ER1412" s="8"/>
      <c r="ES1412" s="8"/>
      <c r="ET1412" s="8"/>
      <c r="EU1412" s="8"/>
      <c r="EV1412" s="8"/>
      <c r="EW1412" s="8"/>
      <c r="EX1412" s="8"/>
      <c r="EY1412" s="8"/>
      <c r="EZ1412" s="8"/>
      <c r="FA1412" s="8"/>
      <c r="FB1412" s="8"/>
      <c r="FC1412" s="8"/>
      <c r="FD1412" s="8"/>
      <c r="FE1412" s="8"/>
      <c r="FF1412" s="8"/>
      <c r="FG1412" s="8"/>
      <c r="FH1412" s="8"/>
      <c r="FI1412" s="8"/>
      <c r="FJ1412" s="8"/>
      <c r="FK1412" s="8"/>
      <c r="FL1412" s="8"/>
      <c r="FM1412" s="8"/>
      <c r="FN1412" s="8"/>
      <c r="FO1412" s="8"/>
      <c r="FP1412" s="8"/>
      <c r="FQ1412" s="8"/>
      <c r="FR1412" s="8"/>
      <c r="FS1412" s="8"/>
      <c r="FT1412" s="8"/>
      <c r="FU1412" s="8"/>
      <c r="FV1412" s="8"/>
      <c r="FW1412" s="8"/>
      <c r="FX1412" s="8"/>
      <c r="FY1412" s="8"/>
      <c r="FZ1412" s="8"/>
      <c r="GA1412" s="8"/>
      <c r="GB1412" s="8"/>
      <c r="GC1412" s="8"/>
      <c r="GD1412" s="8"/>
      <c r="GE1412" s="8"/>
      <c r="GF1412" s="8"/>
      <c r="GG1412" s="8"/>
      <c r="GH1412" s="8"/>
      <c r="GI1412" s="8"/>
      <c r="GJ1412" s="8"/>
      <c r="GK1412" s="8"/>
      <c r="GL1412" s="8"/>
      <c r="GM1412" s="8"/>
      <c r="GN1412" s="8"/>
      <c r="GO1412" s="8"/>
      <c r="GP1412" s="8"/>
      <c r="GQ1412" s="8"/>
      <c r="GR1412" s="8"/>
      <c r="GS1412" s="8"/>
      <c r="GT1412" s="8"/>
      <c r="GU1412" s="8"/>
      <c r="GV1412" s="8"/>
      <c r="GW1412" s="8"/>
      <c r="GX1412" s="8"/>
      <c r="GY1412" s="8"/>
      <c r="GZ1412" s="8"/>
      <c r="HA1412" s="8"/>
      <c r="HB1412" s="8"/>
      <c r="HC1412" s="8"/>
      <c r="HD1412" s="8"/>
      <c r="HE1412" s="8"/>
      <c r="HF1412" s="8"/>
      <c r="HG1412" s="8"/>
      <c r="HH1412" s="8"/>
      <c r="HI1412" s="8"/>
      <c r="HJ1412" s="8"/>
      <c r="HK1412" s="8"/>
      <c r="HL1412" s="8"/>
      <c r="HM1412" s="8"/>
      <c r="HN1412" s="8"/>
      <c r="HO1412" s="8"/>
      <c r="HP1412" s="8"/>
      <c r="HQ1412" s="8"/>
      <c r="HR1412" s="8"/>
      <c r="HS1412" s="8"/>
      <c r="HT1412" s="8"/>
      <c r="HU1412" s="8"/>
      <c r="HV1412" s="8"/>
      <c r="HW1412" s="8"/>
      <c r="HX1412" s="8"/>
      <c r="HY1412" s="8"/>
      <c r="HZ1412" s="8"/>
      <c r="IA1412" s="8"/>
      <c r="IB1412" s="8"/>
      <c r="IC1412" s="8"/>
      <c r="ID1412" s="8"/>
      <c r="IE1412" s="8"/>
      <c r="IF1412" s="8"/>
    </row>
    <row r="1413" spans="1:240">
      <c r="A1413" s="14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8"/>
      <c r="AP1413" s="8"/>
      <c r="AQ1413" s="8"/>
      <c r="AR1413" s="8"/>
      <c r="AS1413" s="8"/>
      <c r="AT1413" s="8"/>
      <c r="AU1413" s="8"/>
      <c r="AV1413" s="8"/>
      <c r="AW1413" s="8"/>
      <c r="AX1413" s="8"/>
      <c r="AY1413" s="8"/>
      <c r="AZ1413" s="8"/>
      <c r="BA1413" s="8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8"/>
      <c r="BS1413" s="8"/>
      <c r="BT1413" s="8"/>
      <c r="BU1413" s="8"/>
      <c r="BV1413" s="8"/>
      <c r="BW1413" s="8"/>
      <c r="BX1413" s="8"/>
      <c r="BY1413" s="8"/>
      <c r="BZ1413" s="8"/>
      <c r="CA1413" s="8"/>
      <c r="CB1413" s="8"/>
      <c r="CC1413" s="8"/>
      <c r="CD1413" s="8"/>
      <c r="CE1413" s="8"/>
      <c r="CF1413" s="8"/>
      <c r="CG1413" s="8"/>
      <c r="CH1413" s="8"/>
      <c r="CI1413" s="8"/>
      <c r="CJ1413" s="8"/>
      <c r="CK1413" s="8"/>
      <c r="CL1413" s="8"/>
      <c r="CM1413" s="8"/>
      <c r="CN1413" s="8"/>
      <c r="CO1413" s="8"/>
      <c r="CP1413" s="8"/>
      <c r="CQ1413" s="8"/>
      <c r="CR1413" s="8"/>
      <c r="CS1413" s="8"/>
      <c r="CT1413" s="8"/>
      <c r="CU1413" s="8"/>
      <c r="CV1413" s="8"/>
      <c r="CW1413" s="8"/>
      <c r="CX1413" s="8"/>
      <c r="CY1413" s="8"/>
      <c r="CZ1413" s="8"/>
      <c r="DA1413" s="8"/>
      <c r="DB1413" s="8"/>
      <c r="DC1413" s="8"/>
      <c r="DD1413" s="8"/>
      <c r="DE1413" s="8"/>
      <c r="DF1413" s="8"/>
      <c r="DG1413" s="8"/>
      <c r="DH1413" s="8"/>
      <c r="DI1413" s="8"/>
      <c r="DJ1413" s="8"/>
      <c r="DK1413" s="8"/>
      <c r="DL1413" s="8"/>
      <c r="DM1413" s="8"/>
      <c r="DN1413" s="8"/>
      <c r="DO1413" s="8"/>
      <c r="DP1413" s="8"/>
      <c r="DQ1413" s="8"/>
      <c r="DR1413" s="8"/>
      <c r="DS1413" s="8"/>
      <c r="DT1413" s="8"/>
      <c r="DU1413" s="8"/>
      <c r="DV1413" s="8"/>
      <c r="DW1413" s="8"/>
      <c r="DX1413" s="8"/>
      <c r="DY1413" s="8"/>
      <c r="DZ1413" s="8"/>
      <c r="EA1413" s="8"/>
      <c r="EB1413" s="8"/>
      <c r="EC1413" s="8"/>
      <c r="ED1413" s="8"/>
      <c r="EE1413" s="8"/>
      <c r="EF1413" s="8"/>
      <c r="EG1413" s="8"/>
      <c r="EH1413" s="8"/>
      <c r="EI1413" s="8"/>
      <c r="EJ1413" s="8"/>
      <c r="EK1413" s="8"/>
      <c r="EL1413" s="8"/>
      <c r="EM1413" s="8"/>
      <c r="EN1413" s="8"/>
      <c r="EO1413" s="8"/>
      <c r="EP1413" s="8"/>
      <c r="EQ1413" s="8"/>
      <c r="ER1413" s="8"/>
      <c r="ES1413" s="8"/>
      <c r="ET1413" s="8"/>
      <c r="EU1413" s="8"/>
      <c r="EV1413" s="8"/>
      <c r="EW1413" s="8"/>
      <c r="EX1413" s="8"/>
      <c r="EY1413" s="8"/>
      <c r="EZ1413" s="8"/>
      <c r="FA1413" s="8"/>
      <c r="FB1413" s="8"/>
      <c r="FC1413" s="8"/>
      <c r="FD1413" s="8"/>
      <c r="FE1413" s="8"/>
      <c r="FF1413" s="8"/>
      <c r="FG1413" s="8"/>
      <c r="FH1413" s="8"/>
      <c r="FI1413" s="8"/>
      <c r="FJ1413" s="8"/>
      <c r="FK1413" s="8"/>
      <c r="FL1413" s="8"/>
      <c r="FM1413" s="8"/>
      <c r="FN1413" s="8"/>
      <c r="FO1413" s="8"/>
      <c r="FP1413" s="8"/>
      <c r="FQ1413" s="8"/>
      <c r="FR1413" s="8"/>
      <c r="FS1413" s="8"/>
      <c r="FT1413" s="8"/>
      <c r="FU1413" s="8"/>
      <c r="FV1413" s="8"/>
      <c r="FW1413" s="8"/>
      <c r="FX1413" s="8"/>
      <c r="FY1413" s="8"/>
      <c r="FZ1413" s="8"/>
      <c r="GA1413" s="8"/>
      <c r="GB1413" s="8"/>
      <c r="GC1413" s="8"/>
      <c r="GD1413" s="8"/>
      <c r="GE1413" s="8"/>
      <c r="GF1413" s="8"/>
      <c r="GG1413" s="8"/>
      <c r="GH1413" s="8"/>
      <c r="GI1413" s="8"/>
      <c r="GJ1413" s="8"/>
      <c r="GK1413" s="8"/>
      <c r="GL1413" s="8"/>
      <c r="GM1413" s="8"/>
      <c r="GN1413" s="8"/>
      <c r="GO1413" s="8"/>
      <c r="GP1413" s="8"/>
      <c r="GQ1413" s="8"/>
      <c r="GR1413" s="8"/>
      <c r="GS1413" s="8"/>
      <c r="GT1413" s="8"/>
      <c r="GU1413" s="8"/>
      <c r="GV1413" s="8"/>
      <c r="GW1413" s="8"/>
      <c r="GX1413" s="8"/>
      <c r="GY1413" s="8"/>
      <c r="GZ1413" s="8"/>
      <c r="HA1413" s="8"/>
      <c r="HB1413" s="8"/>
      <c r="HC1413" s="8"/>
      <c r="HD1413" s="8"/>
      <c r="HE1413" s="8"/>
      <c r="HF1413" s="8"/>
      <c r="HG1413" s="8"/>
      <c r="HH1413" s="8"/>
      <c r="HI1413" s="8"/>
      <c r="HJ1413" s="8"/>
      <c r="HK1413" s="8"/>
      <c r="HL1413" s="8"/>
      <c r="HM1413" s="8"/>
      <c r="HN1413" s="8"/>
      <c r="HO1413" s="8"/>
      <c r="HP1413" s="8"/>
      <c r="HQ1413" s="8"/>
      <c r="HR1413" s="8"/>
      <c r="HS1413" s="8"/>
      <c r="HT1413" s="8"/>
      <c r="HU1413" s="8"/>
      <c r="HV1413" s="8"/>
      <c r="HW1413" s="8"/>
      <c r="HX1413" s="8"/>
      <c r="HY1413" s="8"/>
      <c r="HZ1413" s="8"/>
      <c r="IA1413" s="8"/>
      <c r="IB1413" s="8"/>
      <c r="IC1413" s="8"/>
      <c r="ID1413" s="8"/>
      <c r="IE1413" s="8"/>
      <c r="IF1413" s="8"/>
    </row>
    <row r="1414" spans="1:240">
      <c r="A1414" s="14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8"/>
      <c r="BS1414" s="8"/>
      <c r="BT1414" s="8"/>
      <c r="BU1414" s="8"/>
      <c r="BV1414" s="8"/>
      <c r="BW1414" s="8"/>
      <c r="BX1414" s="8"/>
      <c r="BY1414" s="8"/>
      <c r="BZ1414" s="8"/>
      <c r="CA1414" s="8"/>
      <c r="CB1414" s="8"/>
      <c r="CC1414" s="8"/>
      <c r="CD1414" s="8"/>
      <c r="CE1414" s="8"/>
      <c r="CF1414" s="8"/>
      <c r="CG1414" s="8"/>
      <c r="CH1414" s="8"/>
      <c r="CI1414" s="8"/>
      <c r="CJ1414" s="8"/>
      <c r="CK1414" s="8"/>
      <c r="CL1414" s="8"/>
      <c r="CM1414" s="8"/>
      <c r="CN1414" s="8"/>
      <c r="CO1414" s="8"/>
      <c r="CP1414" s="8"/>
      <c r="CQ1414" s="8"/>
      <c r="CR1414" s="8"/>
      <c r="CS1414" s="8"/>
      <c r="CT1414" s="8"/>
      <c r="CU1414" s="8"/>
      <c r="CV1414" s="8"/>
      <c r="CW1414" s="8"/>
      <c r="CX1414" s="8"/>
      <c r="CY1414" s="8"/>
      <c r="CZ1414" s="8"/>
      <c r="DA1414" s="8"/>
      <c r="DB1414" s="8"/>
      <c r="DC1414" s="8"/>
      <c r="DD1414" s="8"/>
      <c r="DE1414" s="8"/>
      <c r="DF1414" s="8"/>
      <c r="DG1414" s="8"/>
      <c r="DH1414" s="8"/>
      <c r="DI1414" s="8"/>
      <c r="DJ1414" s="8"/>
      <c r="DK1414" s="8"/>
      <c r="DL1414" s="8"/>
      <c r="DM1414" s="8"/>
      <c r="DN1414" s="8"/>
      <c r="DO1414" s="8"/>
      <c r="DP1414" s="8"/>
      <c r="DQ1414" s="8"/>
      <c r="DR1414" s="8"/>
      <c r="DS1414" s="8"/>
      <c r="DT1414" s="8"/>
      <c r="DU1414" s="8"/>
      <c r="DV1414" s="8"/>
      <c r="DW1414" s="8"/>
      <c r="DX1414" s="8"/>
      <c r="DY1414" s="8"/>
      <c r="DZ1414" s="8"/>
      <c r="EA1414" s="8"/>
      <c r="EB1414" s="8"/>
      <c r="EC1414" s="8"/>
      <c r="ED1414" s="8"/>
      <c r="EE1414" s="8"/>
      <c r="EF1414" s="8"/>
      <c r="EG1414" s="8"/>
      <c r="EH1414" s="8"/>
      <c r="EI1414" s="8"/>
      <c r="EJ1414" s="8"/>
      <c r="EK1414" s="8"/>
      <c r="EL1414" s="8"/>
      <c r="EM1414" s="8"/>
      <c r="EN1414" s="8"/>
      <c r="EO1414" s="8"/>
      <c r="EP1414" s="8"/>
      <c r="EQ1414" s="8"/>
      <c r="ER1414" s="8"/>
      <c r="ES1414" s="8"/>
      <c r="ET1414" s="8"/>
      <c r="EU1414" s="8"/>
      <c r="EV1414" s="8"/>
      <c r="EW1414" s="8"/>
      <c r="EX1414" s="8"/>
      <c r="EY1414" s="8"/>
      <c r="EZ1414" s="8"/>
      <c r="FA1414" s="8"/>
      <c r="FB1414" s="8"/>
      <c r="FC1414" s="8"/>
      <c r="FD1414" s="8"/>
      <c r="FE1414" s="8"/>
      <c r="FF1414" s="8"/>
      <c r="FG1414" s="8"/>
      <c r="FH1414" s="8"/>
      <c r="FI1414" s="8"/>
      <c r="FJ1414" s="8"/>
      <c r="FK1414" s="8"/>
      <c r="FL1414" s="8"/>
      <c r="FM1414" s="8"/>
      <c r="FN1414" s="8"/>
      <c r="FO1414" s="8"/>
      <c r="FP1414" s="8"/>
      <c r="FQ1414" s="8"/>
      <c r="FR1414" s="8"/>
      <c r="FS1414" s="8"/>
      <c r="FT1414" s="8"/>
      <c r="FU1414" s="8"/>
      <c r="FV1414" s="8"/>
      <c r="FW1414" s="8"/>
      <c r="FX1414" s="8"/>
      <c r="FY1414" s="8"/>
      <c r="FZ1414" s="8"/>
      <c r="GA1414" s="8"/>
      <c r="GB1414" s="8"/>
      <c r="GC1414" s="8"/>
      <c r="GD1414" s="8"/>
      <c r="GE1414" s="8"/>
      <c r="GF1414" s="8"/>
      <c r="GG1414" s="8"/>
      <c r="GH1414" s="8"/>
      <c r="GI1414" s="8"/>
      <c r="GJ1414" s="8"/>
      <c r="GK1414" s="8"/>
      <c r="GL1414" s="8"/>
      <c r="GM1414" s="8"/>
      <c r="GN1414" s="8"/>
      <c r="GO1414" s="8"/>
      <c r="GP1414" s="8"/>
      <c r="GQ1414" s="8"/>
      <c r="GR1414" s="8"/>
      <c r="GS1414" s="8"/>
      <c r="GT1414" s="8"/>
      <c r="GU1414" s="8"/>
      <c r="GV1414" s="8"/>
      <c r="GW1414" s="8"/>
      <c r="GX1414" s="8"/>
      <c r="GY1414" s="8"/>
      <c r="GZ1414" s="8"/>
      <c r="HA1414" s="8"/>
      <c r="HB1414" s="8"/>
      <c r="HC1414" s="8"/>
      <c r="HD1414" s="8"/>
      <c r="HE1414" s="8"/>
      <c r="HF1414" s="8"/>
      <c r="HG1414" s="8"/>
      <c r="HH1414" s="8"/>
      <c r="HI1414" s="8"/>
      <c r="HJ1414" s="8"/>
      <c r="HK1414" s="8"/>
      <c r="HL1414" s="8"/>
      <c r="HM1414" s="8"/>
      <c r="HN1414" s="8"/>
      <c r="HO1414" s="8"/>
      <c r="HP1414" s="8"/>
      <c r="HQ1414" s="8"/>
      <c r="HR1414" s="8"/>
      <c r="HS1414" s="8"/>
      <c r="HT1414" s="8"/>
      <c r="HU1414" s="8"/>
      <c r="HV1414" s="8"/>
      <c r="HW1414" s="8"/>
      <c r="HX1414" s="8"/>
      <c r="HY1414" s="8"/>
      <c r="HZ1414" s="8"/>
      <c r="IA1414" s="8"/>
      <c r="IB1414" s="8"/>
      <c r="IC1414" s="8"/>
      <c r="ID1414" s="8"/>
      <c r="IE1414" s="8"/>
      <c r="IF1414" s="8"/>
    </row>
    <row r="1415" spans="1:240">
      <c r="A1415" s="14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8"/>
      <c r="BS1415" s="8"/>
      <c r="BT1415" s="8"/>
      <c r="BU1415" s="8"/>
      <c r="BV1415" s="8"/>
      <c r="BW1415" s="8"/>
      <c r="BX1415" s="8"/>
      <c r="BY1415" s="8"/>
      <c r="BZ1415" s="8"/>
      <c r="CA1415" s="8"/>
      <c r="CB1415" s="8"/>
      <c r="CC1415" s="8"/>
      <c r="CD1415" s="8"/>
      <c r="CE1415" s="8"/>
      <c r="CF1415" s="8"/>
      <c r="CG1415" s="8"/>
      <c r="CH1415" s="8"/>
      <c r="CI1415" s="8"/>
      <c r="CJ1415" s="8"/>
      <c r="CK1415" s="8"/>
      <c r="CL1415" s="8"/>
      <c r="CM1415" s="8"/>
      <c r="CN1415" s="8"/>
      <c r="CO1415" s="8"/>
      <c r="CP1415" s="8"/>
      <c r="CQ1415" s="8"/>
      <c r="CR1415" s="8"/>
      <c r="CS1415" s="8"/>
      <c r="CT1415" s="8"/>
      <c r="CU1415" s="8"/>
      <c r="CV1415" s="8"/>
      <c r="CW1415" s="8"/>
      <c r="CX1415" s="8"/>
      <c r="CY1415" s="8"/>
      <c r="CZ1415" s="8"/>
      <c r="DA1415" s="8"/>
      <c r="DB1415" s="8"/>
      <c r="DC1415" s="8"/>
      <c r="DD1415" s="8"/>
      <c r="DE1415" s="8"/>
      <c r="DF1415" s="8"/>
      <c r="DG1415" s="8"/>
      <c r="DH1415" s="8"/>
      <c r="DI1415" s="8"/>
      <c r="DJ1415" s="8"/>
      <c r="DK1415" s="8"/>
      <c r="DL1415" s="8"/>
      <c r="DM1415" s="8"/>
      <c r="DN1415" s="8"/>
      <c r="DO1415" s="8"/>
      <c r="DP1415" s="8"/>
      <c r="DQ1415" s="8"/>
      <c r="DR1415" s="8"/>
      <c r="DS1415" s="8"/>
      <c r="DT1415" s="8"/>
      <c r="DU1415" s="8"/>
      <c r="DV1415" s="8"/>
      <c r="DW1415" s="8"/>
      <c r="DX1415" s="8"/>
      <c r="DY1415" s="8"/>
      <c r="DZ1415" s="8"/>
      <c r="EA1415" s="8"/>
      <c r="EB1415" s="8"/>
      <c r="EC1415" s="8"/>
      <c r="ED1415" s="8"/>
      <c r="EE1415" s="8"/>
      <c r="EF1415" s="8"/>
      <c r="EG1415" s="8"/>
      <c r="EH1415" s="8"/>
      <c r="EI1415" s="8"/>
      <c r="EJ1415" s="8"/>
      <c r="EK1415" s="8"/>
      <c r="EL1415" s="8"/>
      <c r="EM1415" s="8"/>
      <c r="EN1415" s="8"/>
      <c r="EO1415" s="8"/>
      <c r="EP1415" s="8"/>
      <c r="EQ1415" s="8"/>
      <c r="ER1415" s="8"/>
      <c r="ES1415" s="8"/>
      <c r="ET1415" s="8"/>
      <c r="EU1415" s="8"/>
      <c r="EV1415" s="8"/>
      <c r="EW1415" s="8"/>
      <c r="EX1415" s="8"/>
      <c r="EY1415" s="8"/>
      <c r="EZ1415" s="8"/>
      <c r="FA1415" s="8"/>
      <c r="FB1415" s="8"/>
      <c r="FC1415" s="8"/>
      <c r="FD1415" s="8"/>
      <c r="FE1415" s="8"/>
      <c r="FF1415" s="8"/>
      <c r="FG1415" s="8"/>
      <c r="FH1415" s="8"/>
      <c r="FI1415" s="8"/>
      <c r="FJ1415" s="8"/>
      <c r="FK1415" s="8"/>
      <c r="FL1415" s="8"/>
      <c r="FM1415" s="8"/>
      <c r="FN1415" s="8"/>
      <c r="FO1415" s="8"/>
      <c r="FP1415" s="8"/>
      <c r="FQ1415" s="8"/>
      <c r="FR1415" s="8"/>
      <c r="FS1415" s="8"/>
      <c r="FT1415" s="8"/>
      <c r="FU1415" s="8"/>
      <c r="FV1415" s="8"/>
      <c r="FW1415" s="8"/>
      <c r="FX1415" s="8"/>
      <c r="FY1415" s="8"/>
      <c r="FZ1415" s="8"/>
      <c r="GA1415" s="8"/>
      <c r="GB1415" s="8"/>
      <c r="GC1415" s="8"/>
      <c r="GD1415" s="8"/>
      <c r="GE1415" s="8"/>
      <c r="GF1415" s="8"/>
      <c r="GG1415" s="8"/>
      <c r="GH1415" s="8"/>
      <c r="GI1415" s="8"/>
      <c r="GJ1415" s="8"/>
      <c r="GK1415" s="8"/>
      <c r="GL1415" s="8"/>
      <c r="GM1415" s="8"/>
      <c r="GN1415" s="8"/>
      <c r="GO1415" s="8"/>
      <c r="GP1415" s="8"/>
      <c r="GQ1415" s="8"/>
      <c r="GR1415" s="8"/>
      <c r="GS1415" s="8"/>
      <c r="GT1415" s="8"/>
      <c r="GU1415" s="8"/>
      <c r="GV1415" s="8"/>
      <c r="GW1415" s="8"/>
      <c r="GX1415" s="8"/>
      <c r="GY1415" s="8"/>
      <c r="GZ1415" s="8"/>
      <c r="HA1415" s="8"/>
      <c r="HB1415" s="8"/>
      <c r="HC1415" s="8"/>
      <c r="HD1415" s="8"/>
      <c r="HE1415" s="8"/>
      <c r="HF1415" s="8"/>
      <c r="HG1415" s="8"/>
      <c r="HH1415" s="8"/>
      <c r="HI1415" s="8"/>
      <c r="HJ1415" s="8"/>
      <c r="HK1415" s="8"/>
      <c r="HL1415" s="8"/>
      <c r="HM1415" s="8"/>
      <c r="HN1415" s="8"/>
      <c r="HO1415" s="8"/>
      <c r="HP1415" s="8"/>
      <c r="HQ1415" s="8"/>
      <c r="HR1415" s="8"/>
      <c r="HS1415" s="8"/>
      <c r="HT1415" s="8"/>
      <c r="HU1415" s="8"/>
      <c r="HV1415" s="8"/>
      <c r="HW1415" s="8"/>
      <c r="HX1415" s="8"/>
      <c r="HY1415" s="8"/>
      <c r="HZ1415" s="8"/>
      <c r="IA1415" s="8"/>
      <c r="IB1415" s="8"/>
      <c r="IC1415" s="8"/>
      <c r="ID1415" s="8"/>
      <c r="IE1415" s="8"/>
      <c r="IF1415" s="8"/>
    </row>
    <row r="1416" spans="1:240">
      <c r="A1416" s="14"/>
      <c r="B1416" s="23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8"/>
      <c r="BS1416" s="8"/>
      <c r="BT1416" s="8"/>
      <c r="BU1416" s="8"/>
      <c r="BV1416" s="8"/>
      <c r="BW1416" s="8"/>
      <c r="BX1416" s="8"/>
      <c r="BY1416" s="8"/>
      <c r="BZ1416" s="8"/>
      <c r="CA1416" s="8"/>
      <c r="CB1416" s="8"/>
      <c r="CC1416" s="8"/>
      <c r="CD1416" s="8"/>
      <c r="CE1416" s="8"/>
      <c r="CF1416" s="8"/>
      <c r="CG1416" s="8"/>
      <c r="CH1416" s="8"/>
      <c r="CI1416" s="8"/>
      <c r="CJ1416" s="8"/>
      <c r="CK1416" s="8"/>
      <c r="CL1416" s="8"/>
      <c r="CM1416" s="8"/>
      <c r="CN1416" s="8"/>
      <c r="CO1416" s="8"/>
      <c r="CP1416" s="8"/>
      <c r="CQ1416" s="8"/>
      <c r="CR1416" s="8"/>
      <c r="CS1416" s="8"/>
      <c r="CT1416" s="8"/>
      <c r="CU1416" s="8"/>
      <c r="CV1416" s="8"/>
      <c r="CW1416" s="8"/>
      <c r="CX1416" s="8"/>
      <c r="CY1416" s="8"/>
      <c r="CZ1416" s="8"/>
      <c r="DA1416" s="8"/>
      <c r="DB1416" s="8"/>
      <c r="DC1416" s="8"/>
      <c r="DD1416" s="8"/>
      <c r="DE1416" s="8"/>
      <c r="DF1416" s="8"/>
      <c r="DG1416" s="8"/>
      <c r="DH1416" s="8"/>
      <c r="DI1416" s="8"/>
      <c r="DJ1416" s="8"/>
      <c r="DK1416" s="8"/>
      <c r="DL1416" s="8"/>
      <c r="DM1416" s="8"/>
      <c r="DN1416" s="8"/>
      <c r="DO1416" s="8"/>
      <c r="DP1416" s="8"/>
      <c r="DQ1416" s="8"/>
      <c r="DR1416" s="8"/>
      <c r="DS1416" s="8"/>
      <c r="DT1416" s="8"/>
      <c r="DU1416" s="8"/>
      <c r="DV1416" s="8"/>
      <c r="DW1416" s="8"/>
      <c r="DX1416" s="8"/>
      <c r="DY1416" s="8"/>
      <c r="DZ1416" s="8"/>
      <c r="EA1416" s="8"/>
      <c r="EB1416" s="8"/>
      <c r="EC1416" s="8"/>
      <c r="ED1416" s="8"/>
      <c r="EE1416" s="8"/>
      <c r="EF1416" s="8"/>
      <c r="EG1416" s="8"/>
      <c r="EH1416" s="8"/>
      <c r="EI1416" s="8"/>
      <c r="EJ1416" s="8"/>
      <c r="EK1416" s="8"/>
      <c r="EL1416" s="8"/>
      <c r="EM1416" s="8"/>
      <c r="EN1416" s="8"/>
      <c r="EO1416" s="8"/>
      <c r="EP1416" s="8"/>
      <c r="EQ1416" s="8"/>
      <c r="ER1416" s="8"/>
      <c r="ES1416" s="8"/>
      <c r="ET1416" s="8"/>
      <c r="EU1416" s="8"/>
      <c r="EV1416" s="8"/>
      <c r="EW1416" s="8"/>
      <c r="EX1416" s="8"/>
      <c r="EY1416" s="8"/>
      <c r="EZ1416" s="8"/>
      <c r="FA1416" s="8"/>
      <c r="FB1416" s="8"/>
      <c r="FC1416" s="8"/>
      <c r="FD1416" s="8"/>
      <c r="FE1416" s="8"/>
      <c r="FF1416" s="8"/>
      <c r="FG1416" s="8"/>
      <c r="FH1416" s="8"/>
      <c r="FI1416" s="8"/>
      <c r="FJ1416" s="8"/>
      <c r="FK1416" s="8"/>
      <c r="FL1416" s="8"/>
      <c r="FM1416" s="8"/>
      <c r="FN1416" s="8"/>
      <c r="FO1416" s="8"/>
      <c r="FP1416" s="8"/>
      <c r="FQ1416" s="8"/>
      <c r="FR1416" s="8"/>
      <c r="FS1416" s="8"/>
      <c r="FT1416" s="8"/>
      <c r="FU1416" s="8"/>
      <c r="FV1416" s="8"/>
      <c r="FW1416" s="8"/>
      <c r="FX1416" s="8"/>
      <c r="FY1416" s="8"/>
      <c r="FZ1416" s="8"/>
      <c r="GA1416" s="8"/>
      <c r="GB1416" s="8"/>
      <c r="GC1416" s="8"/>
      <c r="GD1416" s="8"/>
      <c r="GE1416" s="8"/>
      <c r="GF1416" s="8"/>
      <c r="GG1416" s="8"/>
      <c r="GH1416" s="8"/>
      <c r="GI1416" s="8"/>
      <c r="GJ1416" s="8"/>
      <c r="GK1416" s="8"/>
      <c r="GL1416" s="8"/>
      <c r="GM1416" s="8"/>
      <c r="GN1416" s="8"/>
      <c r="GO1416" s="8"/>
      <c r="GP1416" s="8"/>
      <c r="GQ1416" s="8"/>
      <c r="GR1416" s="8"/>
      <c r="GS1416" s="8"/>
      <c r="GT1416" s="8"/>
      <c r="GU1416" s="8"/>
      <c r="GV1416" s="8"/>
      <c r="GW1416" s="8"/>
      <c r="GX1416" s="8"/>
      <c r="GY1416" s="8"/>
      <c r="GZ1416" s="8"/>
      <c r="HA1416" s="8"/>
      <c r="HB1416" s="8"/>
      <c r="HC1416" s="8"/>
      <c r="HD1416" s="8"/>
      <c r="HE1416" s="8"/>
      <c r="HF1416" s="8"/>
      <c r="HG1416" s="8"/>
      <c r="HH1416" s="8"/>
      <c r="HI1416" s="8"/>
      <c r="HJ1416" s="8"/>
      <c r="HK1416" s="8"/>
      <c r="HL1416" s="8"/>
      <c r="HM1416" s="8"/>
      <c r="HN1416" s="8"/>
      <c r="HO1416" s="8"/>
      <c r="HP1416" s="8"/>
      <c r="HQ1416" s="8"/>
      <c r="HR1416" s="8"/>
      <c r="HS1416" s="8"/>
      <c r="HT1416" s="8"/>
      <c r="HU1416" s="8"/>
      <c r="HV1416" s="8"/>
      <c r="HW1416" s="8"/>
      <c r="HX1416" s="8"/>
      <c r="HY1416" s="8"/>
      <c r="HZ1416" s="8"/>
      <c r="IA1416" s="8"/>
      <c r="IB1416" s="8"/>
      <c r="IC1416" s="8"/>
      <c r="ID1416" s="8"/>
      <c r="IE1416" s="8"/>
      <c r="IF1416" s="8"/>
    </row>
    <row r="1417" spans="1:240">
      <c r="A1417" s="14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8"/>
      <c r="AP1417" s="8"/>
      <c r="AQ1417" s="8"/>
      <c r="AR1417" s="8"/>
      <c r="AS1417" s="8"/>
      <c r="AT1417" s="8"/>
      <c r="AU1417" s="8"/>
      <c r="AV1417" s="8"/>
      <c r="AW1417" s="8"/>
      <c r="AX1417" s="8"/>
      <c r="AY1417" s="8"/>
      <c r="AZ1417" s="8"/>
      <c r="BA1417" s="8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8"/>
      <c r="BS1417" s="8"/>
      <c r="BT1417" s="8"/>
      <c r="BU1417" s="8"/>
      <c r="BV1417" s="8"/>
      <c r="BW1417" s="8"/>
      <c r="BX1417" s="8"/>
      <c r="BY1417" s="8"/>
      <c r="BZ1417" s="8"/>
      <c r="CA1417" s="8"/>
      <c r="CB1417" s="8"/>
      <c r="CC1417" s="8"/>
      <c r="CD1417" s="8"/>
      <c r="CE1417" s="8"/>
      <c r="CF1417" s="8"/>
      <c r="CG1417" s="8"/>
      <c r="CH1417" s="8"/>
      <c r="CI1417" s="8"/>
      <c r="CJ1417" s="8"/>
      <c r="CK1417" s="8"/>
      <c r="CL1417" s="8"/>
      <c r="CM1417" s="8"/>
      <c r="CN1417" s="8"/>
      <c r="CO1417" s="8"/>
      <c r="CP1417" s="8"/>
      <c r="CQ1417" s="8"/>
      <c r="CR1417" s="8"/>
      <c r="CS1417" s="8"/>
      <c r="CT1417" s="8"/>
      <c r="CU1417" s="8"/>
      <c r="CV1417" s="8"/>
      <c r="CW1417" s="8"/>
      <c r="CX1417" s="8"/>
      <c r="CY1417" s="8"/>
      <c r="CZ1417" s="8"/>
      <c r="DA1417" s="8"/>
      <c r="DB1417" s="8"/>
      <c r="DC1417" s="8"/>
      <c r="DD1417" s="8"/>
      <c r="DE1417" s="8"/>
      <c r="DF1417" s="8"/>
      <c r="DG1417" s="8"/>
      <c r="DH1417" s="8"/>
      <c r="DI1417" s="8"/>
      <c r="DJ1417" s="8"/>
      <c r="DK1417" s="8"/>
      <c r="DL1417" s="8"/>
      <c r="DM1417" s="8"/>
      <c r="DN1417" s="8"/>
      <c r="DO1417" s="8"/>
      <c r="DP1417" s="8"/>
      <c r="DQ1417" s="8"/>
      <c r="DR1417" s="8"/>
      <c r="DS1417" s="8"/>
      <c r="DT1417" s="8"/>
      <c r="DU1417" s="8"/>
      <c r="DV1417" s="8"/>
      <c r="DW1417" s="8"/>
      <c r="DX1417" s="8"/>
      <c r="DY1417" s="8"/>
      <c r="DZ1417" s="8"/>
      <c r="EA1417" s="8"/>
      <c r="EB1417" s="8"/>
      <c r="EC1417" s="8"/>
      <c r="ED1417" s="8"/>
      <c r="EE1417" s="8"/>
      <c r="EF1417" s="8"/>
      <c r="EG1417" s="8"/>
      <c r="EH1417" s="8"/>
      <c r="EI1417" s="8"/>
      <c r="EJ1417" s="8"/>
      <c r="EK1417" s="8"/>
      <c r="EL1417" s="8"/>
      <c r="EM1417" s="8"/>
      <c r="EN1417" s="8"/>
      <c r="EO1417" s="8"/>
      <c r="EP1417" s="8"/>
      <c r="EQ1417" s="8"/>
      <c r="ER1417" s="8"/>
      <c r="ES1417" s="8"/>
      <c r="ET1417" s="8"/>
      <c r="EU1417" s="8"/>
      <c r="EV1417" s="8"/>
      <c r="EW1417" s="8"/>
      <c r="EX1417" s="8"/>
      <c r="EY1417" s="8"/>
      <c r="EZ1417" s="8"/>
      <c r="FA1417" s="8"/>
      <c r="FB1417" s="8"/>
      <c r="FC1417" s="8"/>
      <c r="FD1417" s="8"/>
      <c r="FE1417" s="8"/>
      <c r="FF1417" s="8"/>
      <c r="FG1417" s="8"/>
      <c r="FH1417" s="8"/>
      <c r="FI1417" s="8"/>
      <c r="FJ1417" s="8"/>
      <c r="FK1417" s="8"/>
      <c r="FL1417" s="8"/>
      <c r="FM1417" s="8"/>
      <c r="FN1417" s="8"/>
      <c r="FO1417" s="8"/>
      <c r="FP1417" s="8"/>
      <c r="FQ1417" s="8"/>
      <c r="FR1417" s="8"/>
      <c r="FS1417" s="8"/>
      <c r="FT1417" s="8"/>
      <c r="FU1417" s="8"/>
      <c r="FV1417" s="8"/>
      <c r="FW1417" s="8"/>
      <c r="FX1417" s="8"/>
      <c r="FY1417" s="8"/>
      <c r="FZ1417" s="8"/>
      <c r="GA1417" s="8"/>
      <c r="GB1417" s="8"/>
      <c r="GC1417" s="8"/>
      <c r="GD1417" s="8"/>
      <c r="GE1417" s="8"/>
      <c r="GF1417" s="8"/>
      <c r="GG1417" s="8"/>
      <c r="GH1417" s="8"/>
      <c r="GI1417" s="8"/>
      <c r="GJ1417" s="8"/>
      <c r="GK1417" s="8"/>
      <c r="GL1417" s="8"/>
      <c r="GM1417" s="8"/>
      <c r="GN1417" s="8"/>
      <c r="GO1417" s="8"/>
      <c r="GP1417" s="8"/>
      <c r="GQ1417" s="8"/>
      <c r="GR1417" s="8"/>
      <c r="GS1417" s="8"/>
      <c r="GT1417" s="8"/>
      <c r="GU1417" s="8"/>
      <c r="GV1417" s="8"/>
      <c r="GW1417" s="8"/>
      <c r="GX1417" s="8"/>
      <c r="GY1417" s="8"/>
      <c r="GZ1417" s="8"/>
      <c r="HA1417" s="8"/>
      <c r="HB1417" s="8"/>
      <c r="HC1417" s="8"/>
      <c r="HD1417" s="8"/>
      <c r="HE1417" s="8"/>
      <c r="HF1417" s="8"/>
      <c r="HG1417" s="8"/>
      <c r="HH1417" s="8"/>
      <c r="HI1417" s="8"/>
      <c r="HJ1417" s="8"/>
      <c r="HK1417" s="8"/>
      <c r="HL1417" s="8"/>
      <c r="HM1417" s="8"/>
      <c r="HN1417" s="8"/>
      <c r="HO1417" s="8"/>
      <c r="HP1417" s="8"/>
      <c r="HQ1417" s="8"/>
      <c r="HR1417" s="8"/>
      <c r="HS1417" s="8"/>
      <c r="HT1417" s="8"/>
      <c r="HU1417" s="8"/>
      <c r="HV1417" s="8"/>
      <c r="HW1417" s="8"/>
      <c r="HX1417" s="8"/>
      <c r="HY1417" s="8"/>
      <c r="HZ1417" s="8"/>
      <c r="IA1417" s="8"/>
      <c r="IB1417" s="8"/>
      <c r="IC1417" s="8"/>
      <c r="ID1417" s="8"/>
      <c r="IE1417" s="8"/>
      <c r="IF1417" s="8"/>
    </row>
    <row r="1418" spans="1:240">
      <c r="A1418" s="14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8"/>
      <c r="BS1418" s="8"/>
      <c r="BT1418" s="8"/>
      <c r="BU1418" s="8"/>
      <c r="BV1418" s="8"/>
      <c r="BW1418" s="8"/>
      <c r="BX1418" s="8"/>
      <c r="BY1418" s="8"/>
      <c r="BZ1418" s="8"/>
      <c r="CA1418" s="8"/>
      <c r="CB1418" s="8"/>
      <c r="CC1418" s="8"/>
      <c r="CD1418" s="8"/>
      <c r="CE1418" s="8"/>
      <c r="CF1418" s="8"/>
      <c r="CG1418" s="8"/>
      <c r="CH1418" s="8"/>
      <c r="CI1418" s="8"/>
      <c r="CJ1418" s="8"/>
      <c r="CK1418" s="8"/>
      <c r="CL1418" s="8"/>
      <c r="CM1418" s="8"/>
      <c r="CN1418" s="8"/>
      <c r="CO1418" s="8"/>
      <c r="CP1418" s="8"/>
      <c r="CQ1418" s="8"/>
      <c r="CR1418" s="8"/>
      <c r="CS1418" s="8"/>
      <c r="CT1418" s="8"/>
      <c r="CU1418" s="8"/>
      <c r="CV1418" s="8"/>
      <c r="CW1418" s="8"/>
      <c r="CX1418" s="8"/>
      <c r="CY1418" s="8"/>
      <c r="CZ1418" s="8"/>
      <c r="DA1418" s="8"/>
      <c r="DB1418" s="8"/>
      <c r="DC1418" s="8"/>
      <c r="DD1418" s="8"/>
      <c r="DE1418" s="8"/>
      <c r="DF1418" s="8"/>
      <c r="DG1418" s="8"/>
      <c r="DH1418" s="8"/>
      <c r="DI1418" s="8"/>
      <c r="DJ1418" s="8"/>
      <c r="DK1418" s="8"/>
      <c r="DL1418" s="8"/>
      <c r="DM1418" s="8"/>
      <c r="DN1418" s="8"/>
      <c r="DO1418" s="8"/>
      <c r="DP1418" s="8"/>
      <c r="DQ1418" s="8"/>
      <c r="DR1418" s="8"/>
      <c r="DS1418" s="8"/>
      <c r="DT1418" s="8"/>
      <c r="DU1418" s="8"/>
      <c r="DV1418" s="8"/>
      <c r="DW1418" s="8"/>
      <c r="DX1418" s="8"/>
      <c r="DY1418" s="8"/>
      <c r="DZ1418" s="8"/>
      <c r="EA1418" s="8"/>
      <c r="EB1418" s="8"/>
      <c r="EC1418" s="8"/>
      <c r="ED1418" s="8"/>
      <c r="EE1418" s="8"/>
      <c r="EF1418" s="8"/>
      <c r="EG1418" s="8"/>
      <c r="EH1418" s="8"/>
      <c r="EI1418" s="8"/>
      <c r="EJ1418" s="8"/>
      <c r="EK1418" s="8"/>
      <c r="EL1418" s="8"/>
      <c r="EM1418" s="8"/>
      <c r="EN1418" s="8"/>
      <c r="EO1418" s="8"/>
      <c r="EP1418" s="8"/>
      <c r="EQ1418" s="8"/>
      <c r="ER1418" s="8"/>
      <c r="ES1418" s="8"/>
      <c r="ET1418" s="8"/>
      <c r="EU1418" s="8"/>
      <c r="EV1418" s="8"/>
      <c r="EW1418" s="8"/>
      <c r="EX1418" s="8"/>
      <c r="EY1418" s="8"/>
      <c r="EZ1418" s="8"/>
      <c r="FA1418" s="8"/>
      <c r="FB1418" s="8"/>
      <c r="FC1418" s="8"/>
      <c r="FD1418" s="8"/>
      <c r="FE1418" s="8"/>
      <c r="FF1418" s="8"/>
      <c r="FG1418" s="8"/>
      <c r="FH1418" s="8"/>
      <c r="FI1418" s="8"/>
      <c r="FJ1418" s="8"/>
      <c r="FK1418" s="8"/>
      <c r="FL1418" s="8"/>
      <c r="FM1418" s="8"/>
      <c r="FN1418" s="8"/>
      <c r="FO1418" s="8"/>
      <c r="FP1418" s="8"/>
      <c r="FQ1418" s="8"/>
      <c r="FR1418" s="8"/>
      <c r="FS1418" s="8"/>
      <c r="FT1418" s="8"/>
      <c r="FU1418" s="8"/>
      <c r="FV1418" s="8"/>
      <c r="FW1418" s="8"/>
      <c r="FX1418" s="8"/>
      <c r="FY1418" s="8"/>
      <c r="FZ1418" s="8"/>
      <c r="GA1418" s="8"/>
      <c r="GB1418" s="8"/>
      <c r="GC1418" s="8"/>
      <c r="GD1418" s="8"/>
      <c r="GE1418" s="8"/>
      <c r="GF1418" s="8"/>
      <c r="GG1418" s="8"/>
      <c r="GH1418" s="8"/>
      <c r="GI1418" s="8"/>
      <c r="GJ1418" s="8"/>
      <c r="GK1418" s="8"/>
      <c r="GL1418" s="8"/>
      <c r="GM1418" s="8"/>
      <c r="GN1418" s="8"/>
      <c r="GO1418" s="8"/>
      <c r="GP1418" s="8"/>
      <c r="GQ1418" s="8"/>
      <c r="GR1418" s="8"/>
      <c r="GS1418" s="8"/>
      <c r="GT1418" s="8"/>
      <c r="GU1418" s="8"/>
      <c r="GV1418" s="8"/>
      <c r="GW1418" s="8"/>
      <c r="GX1418" s="8"/>
      <c r="GY1418" s="8"/>
      <c r="GZ1418" s="8"/>
      <c r="HA1418" s="8"/>
      <c r="HB1418" s="8"/>
      <c r="HC1418" s="8"/>
      <c r="HD1418" s="8"/>
      <c r="HE1418" s="8"/>
      <c r="HF1418" s="8"/>
      <c r="HG1418" s="8"/>
      <c r="HH1418" s="8"/>
      <c r="HI1418" s="8"/>
      <c r="HJ1418" s="8"/>
      <c r="HK1418" s="8"/>
      <c r="HL1418" s="8"/>
      <c r="HM1418" s="8"/>
      <c r="HN1418" s="8"/>
      <c r="HO1418" s="8"/>
      <c r="HP1418" s="8"/>
      <c r="HQ1418" s="8"/>
      <c r="HR1418" s="8"/>
      <c r="HS1418" s="8"/>
      <c r="HT1418" s="8"/>
      <c r="HU1418" s="8"/>
      <c r="HV1418" s="8"/>
      <c r="HW1418" s="8"/>
      <c r="HX1418" s="8"/>
      <c r="HY1418" s="8"/>
      <c r="HZ1418" s="8"/>
      <c r="IA1418" s="8"/>
      <c r="IB1418" s="8"/>
      <c r="IC1418" s="8"/>
      <c r="ID1418" s="8"/>
      <c r="IE1418" s="8"/>
      <c r="IF1418" s="8"/>
    </row>
    <row r="1419" spans="1:240">
      <c r="A1419" s="14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  <c r="AJ1419" s="23"/>
      <c r="AK1419" s="23"/>
      <c r="AL1419" s="23"/>
      <c r="AM1419" s="23"/>
      <c r="AN1419" s="23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8"/>
      <c r="BS1419" s="8"/>
      <c r="BT1419" s="8"/>
      <c r="BU1419" s="8"/>
      <c r="BV1419" s="8"/>
      <c r="BW1419" s="8"/>
      <c r="BX1419" s="8"/>
      <c r="BY1419" s="8"/>
      <c r="BZ1419" s="8"/>
      <c r="CA1419" s="8"/>
      <c r="CB1419" s="8"/>
      <c r="CC1419" s="8"/>
      <c r="CD1419" s="8"/>
      <c r="CE1419" s="8"/>
      <c r="CF1419" s="8"/>
      <c r="CG1419" s="8"/>
      <c r="CH1419" s="8"/>
      <c r="CI1419" s="8"/>
      <c r="CJ1419" s="8"/>
      <c r="CK1419" s="8"/>
      <c r="CL1419" s="8"/>
      <c r="CM1419" s="8"/>
      <c r="CN1419" s="8"/>
      <c r="CO1419" s="8"/>
      <c r="CP1419" s="8"/>
      <c r="CQ1419" s="8"/>
      <c r="CR1419" s="8"/>
      <c r="CS1419" s="8"/>
      <c r="CT1419" s="8"/>
      <c r="CU1419" s="8"/>
      <c r="CV1419" s="8"/>
      <c r="CW1419" s="8"/>
      <c r="CX1419" s="8"/>
      <c r="CY1419" s="8"/>
      <c r="CZ1419" s="8"/>
      <c r="DA1419" s="8"/>
      <c r="DB1419" s="8"/>
      <c r="DC1419" s="8"/>
      <c r="DD1419" s="8"/>
      <c r="DE1419" s="8"/>
      <c r="DF1419" s="8"/>
      <c r="DG1419" s="8"/>
      <c r="DH1419" s="8"/>
      <c r="DI1419" s="8"/>
      <c r="DJ1419" s="8"/>
      <c r="DK1419" s="8"/>
      <c r="DL1419" s="8"/>
      <c r="DM1419" s="8"/>
      <c r="DN1419" s="8"/>
      <c r="DO1419" s="8"/>
      <c r="DP1419" s="8"/>
      <c r="DQ1419" s="8"/>
      <c r="DR1419" s="8"/>
      <c r="DS1419" s="8"/>
      <c r="DT1419" s="8"/>
      <c r="DU1419" s="8"/>
      <c r="DV1419" s="8"/>
      <c r="DW1419" s="8"/>
      <c r="DX1419" s="8"/>
      <c r="DY1419" s="8"/>
      <c r="DZ1419" s="8"/>
      <c r="EA1419" s="8"/>
      <c r="EB1419" s="8"/>
      <c r="EC1419" s="8"/>
      <c r="ED1419" s="8"/>
      <c r="EE1419" s="8"/>
      <c r="EF1419" s="8"/>
      <c r="EG1419" s="8"/>
      <c r="EH1419" s="8"/>
      <c r="EI1419" s="8"/>
      <c r="EJ1419" s="8"/>
      <c r="EK1419" s="8"/>
      <c r="EL1419" s="8"/>
      <c r="EM1419" s="8"/>
      <c r="EN1419" s="8"/>
      <c r="EO1419" s="8"/>
      <c r="EP1419" s="8"/>
      <c r="EQ1419" s="8"/>
      <c r="ER1419" s="8"/>
      <c r="ES1419" s="8"/>
      <c r="ET1419" s="8"/>
      <c r="EU1419" s="8"/>
      <c r="EV1419" s="8"/>
      <c r="EW1419" s="8"/>
      <c r="EX1419" s="8"/>
      <c r="EY1419" s="8"/>
      <c r="EZ1419" s="8"/>
      <c r="FA1419" s="8"/>
      <c r="FB1419" s="8"/>
      <c r="FC1419" s="8"/>
      <c r="FD1419" s="8"/>
      <c r="FE1419" s="8"/>
      <c r="FF1419" s="8"/>
      <c r="FG1419" s="8"/>
      <c r="FH1419" s="8"/>
      <c r="FI1419" s="8"/>
      <c r="FJ1419" s="8"/>
      <c r="FK1419" s="8"/>
      <c r="FL1419" s="8"/>
      <c r="FM1419" s="8"/>
      <c r="FN1419" s="8"/>
      <c r="FO1419" s="8"/>
      <c r="FP1419" s="8"/>
      <c r="FQ1419" s="8"/>
      <c r="FR1419" s="8"/>
      <c r="FS1419" s="8"/>
      <c r="FT1419" s="8"/>
      <c r="FU1419" s="8"/>
      <c r="FV1419" s="8"/>
      <c r="FW1419" s="8"/>
      <c r="FX1419" s="8"/>
      <c r="FY1419" s="8"/>
      <c r="FZ1419" s="8"/>
      <c r="GA1419" s="8"/>
      <c r="GB1419" s="8"/>
      <c r="GC1419" s="8"/>
      <c r="GD1419" s="8"/>
      <c r="GE1419" s="8"/>
      <c r="GF1419" s="8"/>
      <c r="GG1419" s="8"/>
      <c r="GH1419" s="8"/>
      <c r="GI1419" s="8"/>
      <c r="GJ1419" s="8"/>
      <c r="GK1419" s="8"/>
      <c r="GL1419" s="8"/>
      <c r="GM1419" s="8"/>
      <c r="GN1419" s="8"/>
      <c r="GO1419" s="8"/>
      <c r="GP1419" s="8"/>
      <c r="GQ1419" s="8"/>
      <c r="GR1419" s="8"/>
      <c r="GS1419" s="8"/>
      <c r="GT1419" s="8"/>
      <c r="GU1419" s="8"/>
      <c r="GV1419" s="8"/>
      <c r="GW1419" s="8"/>
      <c r="GX1419" s="8"/>
      <c r="GY1419" s="8"/>
      <c r="GZ1419" s="8"/>
      <c r="HA1419" s="8"/>
      <c r="HB1419" s="8"/>
      <c r="HC1419" s="8"/>
      <c r="HD1419" s="8"/>
      <c r="HE1419" s="8"/>
      <c r="HF1419" s="8"/>
      <c r="HG1419" s="8"/>
      <c r="HH1419" s="8"/>
      <c r="HI1419" s="8"/>
      <c r="HJ1419" s="8"/>
      <c r="HK1419" s="8"/>
      <c r="HL1419" s="8"/>
      <c r="HM1419" s="8"/>
      <c r="HN1419" s="8"/>
      <c r="HO1419" s="8"/>
      <c r="HP1419" s="8"/>
      <c r="HQ1419" s="8"/>
      <c r="HR1419" s="8"/>
      <c r="HS1419" s="8"/>
      <c r="HT1419" s="8"/>
      <c r="HU1419" s="8"/>
      <c r="HV1419" s="8"/>
      <c r="HW1419" s="8"/>
      <c r="HX1419" s="8"/>
      <c r="HY1419" s="8"/>
      <c r="HZ1419" s="8"/>
      <c r="IA1419" s="8"/>
      <c r="IB1419" s="8"/>
      <c r="IC1419" s="8"/>
      <c r="ID1419" s="8"/>
      <c r="IE1419" s="8"/>
      <c r="IF1419" s="8"/>
    </row>
    <row r="1420" spans="1:240">
      <c r="A1420" s="14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  <c r="AJ1420" s="23"/>
      <c r="AK1420" s="23"/>
      <c r="AL1420" s="23"/>
      <c r="AM1420" s="23"/>
      <c r="AN1420" s="23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8"/>
      <c r="BS1420" s="8"/>
      <c r="BT1420" s="8"/>
      <c r="BU1420" s="8"/>
      <c r="BV1420" s="8"/>
      <c r="BW1420" s="8"/>
      <c r="BX1420" s="8"/>
      <c r="BY1420" s="8"/>
      <c r="BZ1420" s="8"/>
      <c r="CA1420" s="8"/>
      <c r="CB1420" s="8"/>
      <c r="CC1420" s="8"/>
      <c r="CD1420" s="8"/>
      <c r="CE1420" s="8"/>
      <c r="CF1420" s="8"/>
      <c r="CG1420" s="8"/>
      <c r="CH1420" s="8"/>
      <c r="CI1420" s="8"/>
      <c r="CJ1420" s="8"/>
      <c r="CK1420" s="8"/>
      <c r="CL1420" s="8"/>
      <c r="CM1420" s="8"/>
      <c r="CN1420" s="8"/>
      <c r="CO1420" s="8"/>
      <c r="CP1420" s="8"/>
      <c r="CQ1420" s="8"/>
      <c r="CR1420" s="8"/>
      <c r="CS1420" s="8"/>
      <c r="CT1420" s="8"/>
      <c r="CU1420" s="8"/>
      <c r="CV1420" s="8"/>
      <c r="CW1420" s="8"/>
      <c r="CX1420" s="8"/>
      <c r="CY1420" s="8"/>
      <c r="CZ1420" s="8"/>
      <c r="DA1420" s="8"/>
      <c r="DB1420" s="8"/>
      <c r="DC1420" s="8"/>
      <c r="DD1420" s="8"/>
      <c r="DE1420" s="8"/>
      <c r="DF1420" s="8"/>
      <c r="DG1420" s="8"/>
      <c r="DH1420" s="8"/>
      <c r="DI1420" s="8"/>
      <c r="DJ1420" s="8"/>
      <c r="DK1420" s="8"/>
      <c r="DL1420" s="8"/>
      <c r="DM1420" s="8"/>
      <c r="DN1420" s="8"/>
      <c r="DO1420" s="8"/>
      <c r="DP1420" s="8"/>
      <c r="DQ1420" s="8"/>
      <c r="DR1420" s="8"/>
      <c r="DS1420" s="8"/>
      <c r="DT1420" s="8"/>
      <c r="DU1420" s="8"/>
      <c r="DV1420" s="8"/>
      <c r="DW1420" s="8"/>
      <c r="DX1420" s="8"/>
      <c r="DY1420" s="8"/>
      <c r="DZ1420" s="8"/>
      <c r="EA1420" s="8"/>
      <c r="EB1420" s="8"/>
      <c r="EC1420" s="8"/>
      <c r="ED1420" s="8"/>
      <c r="EE1420" s="8"/>
      <c r="EF1420" s="8"/>
      <c r="EG1420" s="8"/>
      <c r="EH1420" s="8"/>
      <c r="EI1420" s="8"/>
      <c r="EJ1420" s="8"/>
      <c r="EK1420" s="8"/>
      <c r="EL1420" s="8"/>
      <c r="EM1420" s="8"/>
      <c r="EN1420" s="8"/>
      <c r="EO1420" s="8"/>
      <c r="EP1420" s="8"/>
      <c r="EQ1420" s="8"/>
      <c r="ER1420" s="8"/>
      <c r="ES1420" s="8"/>
      <c r="ET1420" s="8"/>
      <c r="EU1420" s="8"/>
      <c r="EV1420" s="8"/>
      <c r="EW1420" s="8"/>
      <c r="EX1420" s="8"/>
      <c r="EY1420" s="8"/>
      <c r="EZ1420" s="8"/>
      <c r="FA1420" s="8"/>
      <c r="FB1420" s="8"/>
      <c r="FC1420" s="8"/>
      <c r="FD1420" s="8"/>
      <c r="FE1420" s="8"/>
      <c r="FF1420" s="8"/>
      <c r="FG1420" s="8"/>
      <c r="FH1420" s="8"/>
      <c r="FI1420" s="8"/>
      <c r="FJ1420" s="8"/>
      <c r="FK1420" s="8"/>
      <c r="FL1420" s="8"/>
      <c r="FM1420" s="8"/>
      <c r="FN1420" s="8"/>
      <c r="FO1420" s="8"/>
      <c r="FP1420" s="8"/>
      <c r="FQ1420" s="8"/>
      <c r="FR1420" s="8"/>
      <c r="FS1420" s="8"/>
      <c r="FT1420" s="8"/>
      <c r="FU1420" s="8"/>
      <c r="FV1420" s="8"/>
      <c r="FW1420" s="8"/>
      <c r="FX1420" s="8"/>
      <c r="FY1420" s="8"/>
      <c r="FZ1420" s="8"/>
      <c r="GA1420" s="8"/>
      <c r="GB1420" s="8"/>
      <c r="GC1420" s="8"/>
      <c r="GD1420" s="8"/>
      <c r="GE1420" s="8"/>
      <c r="GF1420" s="8"/>
      <c r="GG1420" s="8"/>
      <c r="GH1420" s="8"/>
      <c r="GI1420" s="8"/>
      <c r="GJ1420" s="8"/>
      <c r="GK1420" s="8"/>
      <c r="GL1420" s="8"/>
      <c r="GM1420" s="8"/>
      <c r="GN1420" s="8"/>
      <c r="GO1420" s="8"/>
      <c r="GP1420" s="8"/>
      <c r="GQ1420" s="8"/>
      <c r="GR1420" s="8"/>
      <c r="GS1420" s="8"/>
      <c r="GT1420" s="8"/>
      <c r="GU1420" s="8"/>
      <c r="GV1420" s="8"/>
      <c r="GW1420" s="8"/>
      <c r="GX1420" s="8"/>
      <c r="GY1420" s="8"/>
      <c r="GZ1420" s="8"/>
      <c r="HA1420" s="8"/>
      <c r="HB1420" s="8"/>
      <c r="HC1420" s="8"/>
      <c r="HD1420" s="8"/>
      <c r="HE1420" s="8"/>
      <c r="HF1420" s="8"/>
      <c r="HG1420" s="8"/>
      <c r="HH1420" s="8"/>
      <c r="HI1420" s="8"/>
      <c r="HJ1420" s="8"/>
      <c r="HK1420" s="8"/>
      <c r="HL1420" s="8"/>
      <c r="HM1420" s="8"/>
      <c r="HN1420" s="8"/>
      <c r="HO1420" s="8"/>
      <c r="HP1420" s="8"/>
      <c r="HQ1420" s="8"/>
      <c r="HR1420" s="8"/>
      <c r="HS1420" s="8"/>
      <c r="HT1420" s="8"/>
      <c r="HU1420" s="8"/>
      <c r="HV1420" s="8"/>
      <c r="HW1420" s="8"/>
      <c r="HX1420" s="8"/>
      <c r="HY1420" s="8"/>
      <c r="HZ1420" s="8"/>
      <c r="IA1420" s="8"/>
      <c r="IB1420" s="8"/>
      <c r="IC1420" s="8"/>
      <c r="ID1420" s="8"/>
      <c r="IE1420" s="8"/>
      <c r="IF1420" s="8"/>
    </row>
    <row r="1421" spans="1:240">
      <c r="A1421" s="14"/>
      <c r="B1421" s="23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3"/>
      <c r="AD1421" s="23"/>
      <c r="AE1421" s="23"/>
      <c r="AF1421" s="23"/>
      <c r="AG1421" s="23"/>
      <c r="AH1421" s="23"/>
      <c r="AI1421" s="23"/>
      <c r="AJ1421" s="23"/>
      <c r="AK1421" s="23"/>
      <c r="AL1421" s="23"/>
      <c r="AM1421" s="23"/>
      <c r="AN1421" s="23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8"/>
      <c r="BS1421" s="8"/>
      <c r="BT1421" s="8"/>
      <c r="BU1421" s="8"/>
      <c r="BV1421" s="8"/>
      <c r="BW1421" s="8"/>
      <c r="BX1421" s="8"/>
      <c r="BY1421" s="8"/>
      <c r="BZ1421" s="8"/>
      <c r="CA1421" s="8"/>
      <c r="CB1421" s="8"/>
      <c r="CC1421" s="8"/>
      <c r="CD1421" s="8"/>
      <c r="CE1421" s="8"/>
      <c r="CF1421" s="8"/>
      <c r="CG1421" s="8"/>
      <c r="CH1421" s="8"/>
      <c r="CI1421" s="8"/>
      <c r="CJ1421" s="8"/>
      <c r="CK1421" s="8"/>
      <c r="CL1421" s="8"/>
      <c r="CM1421" s="8"/>
      <c r="CN1421" s="8"/>
      <c r="CO1421" s="8"/>
      <c r="CP1421" s="8"/>
      <c r="CQ1421" s="8"/>
      <c r="CR1421" s="8"/>
      <c r="CS1421" s="8"/>
      <c r="CT1421" s="8"/>
      <c r="CU1421" s="8"/>
      <c r="CV1421" s="8"/>
      <c r="CW1421" s="8"/>
      <c r="CX1421" s="8"/>
      <c r="CY1421" s="8"/>
      <c r="CZ1421" s="8"/>
      <c r="DA1421" s="8"/>
      <c r="DB1421" s="8"/>
      <c r="DC1421" s="8"/>
      <c r="DD1421" s="8"/>
      <c r="DE1421" s="8"/>
      <c r="DF1421" s="8"/>
      <c r="DG1421" s="8"/>
      <c r="DH1421" s="8"/>
      <c r="DI1421" s="8"/>
      <c r="DJ1421" s="8"/>
      <c r="DK1421" s="8"/>
      <c r="DL1421" s="8"/>
      <c r="DM1421" s="8"/>
      <c r="DN1421" s="8"/>
      <c r="DO1421" s="8"/>
      <c r="DP1421" s="8"/>
      <c r="DQ1421" s="8"/>
      <c r="DR1421" s="8"/>
      <c r="DS1421" s="8"/>
      <c r="DT1421" s="8"/>
      <c r="DU1421" s="8"/>
      <c r="DV1421" s="8"/>
      <c r="DW1421" s="8"/>
      <c r="DX1421" s="8"/>
      <c r="DY1421" s="8"/>
      <c r="DZ1421" s="8"/>
      <c r="EA1421" s="8"/>
      <c r="EB1421" s="8"/>
      <c r="EC1421" s="8"/>
      <c r="ED1421" s="8"/>
      <c r="EE1421" s="8"/>
      <c r="EF1421" s="8"/>
      <c r="EG1421" s="8"/>
      <c r="EH1421" s="8"/>
      <c r="EI1421" s="8"/>
      <c r="EJ1421" s="8"/>
      <c r="EK1421" s="8"/>
      <c r="EL1421" s="8"/>
      <c r="EM1421" s="8"/>
      <c r="EN1421" s="8"/>
      <c r="EO1421" s="8"/>
      <c r="EP1421" s="8"/>
      <c r="EQ1421" s="8"/>
      <c r="ER1421" s="8"/>
      <c r="ES1421" s="8"/>
      <c r="ET1421" s="8"/>
      <c r="EU1421" s="8"/>
      <c r="EV1421" s="8"/>
      <c r="EW1421" s="8"/>
      <c r="EX1421" s="8"/>
      <c r="EY1421" s="8"/>
      <c r="EZ1421" s="8"/>
      <c r="FA1421" s="8"/>
      <c r="FB1421" s="8"/>
      <c r="FC1421" s="8"/>
      <c r="FD1421" s="8"/>
      <c r="FE1421" s="8"/>
      <c r="FF1421" s="8"/>
      <c r="FG1421" s="8"/>
      <c r="FH1421" s="8"/>
      <c r="FI1421" s="8"/>
      <c r="FJ1421" s="8"/>
      <c r="FK1421" s="8"/>
      <c r="FL1421" s="8"/>
      <c r="FM1421" s="8"/>
      <c r="FN1421" s="8"/>
      <c r="FO1421" s="8"/>
      <c r="FP1421" s="8"/>
      <c r="FQ1421" s="8"/>
      <c r="FR1421" s="8"/>
      <c r="FS1421" s="8"/>
      <c r="FT1421" s="8"/>
      <c r="FU1421" s="8"/>
      <c r="FV1421" s="8"/>
      <c r="FW1421" s="8"/>
      <c r="FX1421" s="8"/>
      <c r="FY1421" s="8"/>
      <c r="FZ1421" s="8"/>
      <c r="GA1421" s="8"/>
      <c r="GB1421" s="8"/>
      <c r="GC1421" s="8"/>
      <c r="GD1421" s="8"/>
      <c r="GE1421" s="8"/>
      <c r="GF1421" s="8"/>
      <c r="GG1421" s="8"/>
      <c r="GH1421" s="8"/>
      <c r="GI1421" s="8"/>
      <c r="GJ1421" s="8"/>
      <c r="GK1421" s="8"/>
      <c r="GL1421" s="8"/>
      <c r="GM1421" s="8"/>
      <c r="GN1421" s="8"/>
      <c r="GO1421" s="8"/>
      <c r="GP1421" s="8"/>
      <c r="GQ1421" s="8"/>
      <c r="GR1421" s="8"/>
      <c r="GS1421" s="8"/>
      <c r="GT1421" s="8"/>
      <c r="GU1421" s="8"/>
      <c r="GV1421" s="8"/>
      <c r="GW1421" s="8"/>
      <c r="GX1421" s="8"/>
      <c r="GY1421" s="8"/>
      <c r="GZ1421" s="8"/>
      <c r="HA1421" s="8"/>
      <c r="HB1421" s="8"/>
      <c r="HC1421" s="8"/>
      <c r="HD1421" s="8"/>
      <c r="HE1421" s="8"/>
      <c r="HF1421" s="8"/>
      <c r="HG1421" s="8"/>
      <c r="HH1421" s="8"/>
      <c r="HI1421" s="8"/>
      <c r="HJ1421" s="8"/>
      <c r="HK1421" s="8"/>
      <c r="HL1421" s="8"/>
      <c r="HM1421" s="8"/>
      <c r="HN1421" s="8"/>
      <c r="HO1421" s="8"/>
      <c r="HP1421" s="8"/>
      <c r="HQ1421" s="8"/>
      <c r="HR1421" s="8"/>
      <c r="HS1421" s="8"/>
      <c r="HT1421" s="8"/>
      <c r="HU1421" s="8"/>
      <c r="HV1421" s="8"/>
      <c r="HW1421" s="8"/>
      <c r="HX1421" s="8"/>
      <c r="HY1421" s="8"/>
      <c r="HZ1421" s="8"/>
      <c r="IA1421" s="8"/>
      <c r="IB1421" s="8"/>
      <c r="IC1421" s="8"/>
      <c r="ID1421" s="8"/>
      <c r="IE1421" s="8"/>
      <c r="IF1421" s="8"/>
    </row>
    <row r="1422" spans="1:240">
      <c r="A1422" s="14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  <c r="AC1422" s="23"/>
      <c r="AD1422" s="23"/>
      <c r="AE1422" s="23"/>
      <c r="AF1422" s="23"/>
      <c r="AG1422" s="23"/>
      <c r="AH1422" s="23"/>
      <c r="AI1422" s="23"/>
      <c r="AJ1422" s="23"/>
      <c r="AK1422" s="23"/>
      <c r="AL1422" s="23"/>
      <c r="AM1422" s="23"/>
      <c r="AN1422" s="23"/>
      <c r="AO1422" s="8"/>
      <c r="AP1422" s="8"/>
      <c r="AQ1422" s="8"/>
      <c r="AR1422" s="8"/>
      <c r="AS1422" s="8"/>
      <c r="AT1422" s="8"/>
      <c r="AU1422" s="8"/>
      <c r="AV1422" s="8"/>
      <c r="AW1422" s="8"/>
      <c r="AX1422" s="8"/>
      <c r="AY1422" s="8"/>
      <c r="AZ1422" s="8"/>
      <c r="BA1422" s="8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8"/>
      <c r="BS1422" s="8"/>
      <c r="BT1422" s="8"/>
      <c r="BU1422" s="8"/>
      <c r="BV1422" s="8"/>
      <c r="BW1422" s="8"/>
      <c r="BX1422" s="8"/>
      <c r="BY1422" s="8"/>
      <c r="BZ1422" s="8"/>
      <c r="CA1422" s="8"/>
      <c r="CB1422" s="8"/>
      <c r="CC1422" s="8"/>
      <c r="CD1422" s="8"/>
      <c r="CE1422" s="8"/>
      <c r="CF1422" s="8"/>
      <c r="CG1422" s="8"/>
      <c r="CH1422" s="8"/>
      <c r="CI1422" s="8"/>
      <c r="CJ1422" s="8"/>
      <c r="CK1422" s="8"/>
      <c r="CL1422" s="8"/>
      <c r="CM1422" s="8"/>
      <c r="CN1422" s="8"/>
      <c r="CO1422" s="8"/>
      <c r="CP1422" s="8"/>
      <c r="CQ1422" s="8"/>
      <c r="CR1422" s="8"/>
      <c r="CS1422" s="8"/>
      <c r="CT1422" s="8"/>
      <c r="CU1422" s="8"/>
      <c r="CV1422" s="8"/>
      <c r="CW1422" s="8"/>
      <c r="CX1422" s="8"/>
      <c r="CY1422" s="8"/>
      <c r="CZ1422" s="8"/>
      <c r="DA1422" s="8"/>
      <c r="DB1422" s="8"/>
      <c r="DC1422" s="8"/>
      <c r="DD1422" s="8"/>
      <c r="DE1422" s="8"/>
      <c r="DF1422" s="8"/>
      <c r="DG1422" s="8"/>
      <c r="DH1422" s="8"/>
      <c r="DI1422" s="8"/>
      <c r="DJ1422" s="8"/>
      <c r="DK1422" s="8"/>
      <c r="DL1422" s="8"/>
      <c r="DM1422" s="8"/>
      <c r="DN1422" s="8"/>
      <c r="DO1422" s="8"/>
      <c r="DP1422" s="8"/>
      <c r="DQ1422" s="8"/>
      <c r="DR1422" s="8"/>
      <c r="DS1422" s="8"/>
      <c r="DT1422" s="8"/>
      <c r="DU1422" s="8"/>
      <c r="DV1422" s="8"/>
      <c r="DW1422" s="8"/>
      <c r="DX1422" s="8"/>
      <c r="DY1422" s="8"/>
      <c r="DZ1422" s="8"/>
      <c r="EA1422" s="8"/>
      <c r="EB1422" s="8"/>
      <c r="EC1422" s="8"/>
      <c r="ED1422" s="8"/>
      <c r="EE1422" s="8"/>
      <c r="EF1422" s="8"/>
      <c r="EG1422" s="8"/>
      <c r="EH1422" s="8"/>
      <c r="EI1422" s="8"/>
      <c r="EJ1422" s="8"/>
      <c r="EK1422" s="8"/>
      <c r="EL1422" s="8"/>
      <c r="EM1422" s="8"/>
      <c r="EN1422" s="8"/>
      <c r="EO1422" s="8"/>
      <c r="EP1422" s="8"/>
      <c r="EQ1422" s="8"/>
      <c r="ER1422" s="8"/>
      <c r="ES1422" s="8"/>
      <c r="ET1422" s="8"/>
      <c r="EU1422" s="8"/>
      <c r="EV1422" s="8"/>
      <c r="EW1422" s="8"/>
      <c r="EX1422" s="8"/>
      <c r="EY1422" s="8"/>
      <c r="EZ1422" s="8"/>
      <c r="FA1422" s="8"/>
      <c r="FB1422" s="8"/>
      <c r="FC1422" s="8"/>
      <c r="FD1422" s="8"/>
      <c r="FE1422" s="8"/>
      <c r="FF1422" s="8"/>
      <c r="FG1422" s="8"/>
      <c r="FH1422" s="8"/>
      <c r="FI1422" s="8"/>
      <c r="FJ1422" s="8"/>
      <c r="FK1422" s="8"/>
      <c r="FL1422" s="8"/>
      <c r="FM1422" s="8"/>
      <c r="FN1422" s="8"/>
      <c r="FO1422" s="8"/>
      <c r="FP1422" s="8"/>
      <c r="FQ1422" s="8"/>
      <c r="FR1422" s="8"/>
      <c r="FS1422" s="8"/>
      <c r="FT1422" s="8"/>
      <c r="FU1422" s="8"/>
      <c r="FV1422" s="8"/>
      <c r="FW1422" s="8"/>
      <c r="FX1422" s="8"/>
      <c r="FY1422" s="8"/>
      <c r="FZ1422" s="8"/>
      <c r="GA1422" s="8"/>
      <c r="GB1422" s="8"/>
      <c r="GC1422" s="8"/>
      <c r="GD1422" s="8"/>
      <c r="GE1422" s="8"/>
      <c r="GF1422" s="8"/>
      <c r="GG1422" s="8"/>
      <c r="GH1422" s="8"/>
      <c r="GI1422" s="8"/>
      <c r="GJ1422" s="8"/>
      <c r="GK1422" s="8"/>
      <c r="GL1422" s="8"/>
      <c r="GM1422" s="8"/>
      <c r="GN1422" s="8"/>
      <c r="GO1422" s="8"/>
      <c r="GP1422" s="8"/>
      <c r="GQ1422" s="8"/>
      <c r="GR1422" s="8"/>
      <c r="GS1422" s="8"/>
      <c r="GT1422" s="8"/>
      <c r="GU1422" s="8"/>
      <c r="GV1422" s="8"/>
      <c r="GW1422" s="8"/>
      <c r="GX1422" s="8"/>
      <c r="GY1422" s="8"/>
      <c r="GZ1422" s="8"/>
      <c r="HA1422" s="8"/>
      <c r="HB1422" s="8"/>
      <c r="HC1422" s="8"/>
      <c r="HD1422" s="8"/>
      <c r="HE1422" s="8"/>
      <c r="HF1422" s="8"/>
      <c r="HG1422" s="8"/>
      <c r="HH1422" s="8"/>
      <c r="HI1422" s="8"/>
      <c r="HJ1422" s="8"/>
      <c r="HK1422" s="8"/>
      <c r="HL1422" s="8"/>
      <c r="HM1422" s="8"/>
      <c r="HN1422" s="8"/>
      <c r="HO1422" s="8"/>
      <c r="HP1422" s="8"/>
      <c r="HQ1422" s="8"/>
      <c r="HR1422" s="8"/>
      <c r="HS1422" s="8"/>
      <c r="HT1422" s="8"/>
      <c r="HU1422" s="8"/>
      <c r="HV1422" s="8"/>
      <c r="HW1422" s="8"/>
      <c r="HX1422" s="8"/>
      <c r="HY1422" s="8"/>
      <c r="HZ1422" s="8"/>
      <c r="IA1422" s="8"/>
      <c r="IB1422" s="8"/>
      <c r="IC1422" s="8"/>
      <c r="ID1422" s="8"/>
      <c r="IE1422" s="8"/>
      <c r="IF1422" s="8"/>
    </row>
    <row r="1423" spans="1:240">
      <c r="A1423" s="14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3"/>
      <c r="AB1423" s="23"/>
      <c r="AC1423" s="23"/>
      <c r="AD1423" s="23"/>
      <c r="AE1423" s="23"/>
      <c r="AF1423" s="23"/>
      <c r="AG1423" s="23"/>
      <c r="AH1423" s="23"/>
      <c r="AI1423" s="23"/>
      <c r="AJ1423" s="23"/>
      <c r="AK1423" s="23"/>
      <c r="AL1423" s="23"/>
      <c r="AM1423" s="23"/>
      <c r="AN1423" s="23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8"/>
      <c r="BS1423" s="8"/>
      <c r="BT1423" s="8"/>
      <c r="BU1423" s="8"/>
      <c r="BV1423" s="8"/>
      <c r="BW1423" s="8"/>
      <c r="BX1423" s="8"/>
      <c r="BY1423" s="8"/>
      <c r="BZ1423" s="8"/>
      <c r="CA1423" s="8"/>
      <c r="CB1423" s="8"/>
      <c r="CC1423" s="8"/>
      <c r="CD1423" s="8"/>
      <c r="CE1423" s="8"/>
      <c r="CF1423" s="8"/>
      <c r="CG1423" s="8"/>
      <c r="CH1423" s="8"/>
      <c r="CI1423" s="8"/>
      <c r="CJ1423" s="8"/>
      <c r="CK1423" s="8"/>
      <c r="CL1423" s="8"/>
      <c r="CM1423" s="8"/>
      <c r="CN1423" s="8"/>
      <c r="CO1423" s="8"/>
      <c r="CP1423" s="8"/>
      <c r="CQ1423" s="8"/>
      <c r="CR1423" s="8"/>
      <c r="CS1423" s="8"/>
      <c r="CT1423" s="8"/>
      <c r="CU1423" s="8"/>
      <c r="CV1423" s="8"/>
      <c r="CW1423" s="8"/>
      <c r="CX1423" s="8"/>
      <c r="CY1423" s="8"/>
      <c r="CZ1423" s="8"/>
      <c r="DA1423" s="8"/>
      <c r="DB1423" s="8"/>
      <c r="DC1423" s="8"/>
      <c r="DD1423" s="8"/>
      <c r="DE1423" s="8"/>
      <c r="DF1423" s="8"/>
      <c r="DG1423" s="8"/>
      <c r="DH1423" s="8"/>
      <c r="DI1423" s="8"/>
      <c r="DJ1423" s="8"/>
      <c r="DK1423" s="8"/>
      <c r="DL1423" s="8"/>
      <c r="DM1423" s="8"/>
      <c r="DN1423" s="8"/>
      <c r="DO1423" s="8"/>
      <c r="DP1423" s="8"/>
      <c r="DQ1423" s="8"/>
      <c r="DR1423" s="8"/>
      <c r="DS1423" s="8"/>
      <c r="DT1423" s="8"/>
      <c r="DU1423" s="8"/>
      <c r="DV1423" s="8"/>
      <c r="DW1423" s="8"/>
      <c r="DX1423" s="8"/>
      <c r="DY1423" s="8"/>
      <c r="DZ1423" s="8"/>
      <c r="EA1423" s="8"/>
      <c r="EB1423" s="8"/>
      <c r="EC1423" s="8"/>
      <c r="ED1423" s="8"/>
      <c r="EE1423" s="8"/>
      <c r="EF1423" s="8"/>
      <c r="EG1423" s="8"/>
      <c r="EH1423" s="8"/>
      <c r="EI1423" s="8"/>
      <c r="EJ1423" s="8"/>
      <c r="EK1423" s="8"/>
      <c r="EL1423" s="8"/>
      <c r="EM1423" s="8"/>
      <c r="EN1423" s="8"/>
      <c r="EO1423" s="8"/>
      <c r="EP1423" s="8"/>
      <c r="EQ1423" s="8"/>
      <c r="ER1423" s="8"/>
      <c r="ES1423" s="8"/>
      <c r="ET1423" s="8"/>
      <c r="EU1423" s="8"/>
      <c r="EV1423" s="8"/>
      <c r="EW1423" s="8"/>
      <c r="EX1423" s="8"/>
      <c r="EY1423" s="8"/>
      <c r="EZ1423" s="8"/>
      <c r="FA1423" s="8"/>
      <c r="FB1423" s="8"/>
      <c r="FC1423" s="8"/>
      <c r="FD1423" s="8"/>
      <c r="FE1423" s="8"/>
      <c r="FF1423" s="8"/>
      <c r="FG1423" s="8"/>
      <c r="FH1423" s="8"/>
      <c r="FI1423" s="8"/>
      <c r="FJ1423" s="8"/>
      <c r="FK1423" s="8"/>
      <c r="FL1423" s="8"/>
      <c r="FM1423" s="8"/>
      <c r="FN1423" s="8"/>
      <c r="FO1423" s="8"/>
      <c r="FP1423" s="8"/>
      <c r="FQ1423" s="8"/>
      <c r="FR1423" s="8"/>
      <c r="FS1423" s="8"/>
      <c r="FT1423" s="8"/>
      <c r="FU1423" s="8"/>
      <c r="FV1423" s="8"/>
      <c r="FW1423" s="8"/>
      <c r="FX1423" s="8"/>
      <c r="FY1423" s="8"/>
      <c r="FZ1423" s="8"/>
      <c r="GA1423" s="8"/>
      <c r="GB1423" s="8"/>
      <c r="GC1423" s="8"/>
      <c r="GD1423" s="8"/>
      <c r="GE1423" s="8"/>
      <c r="GF1423" s="8"/>
      <c r="GG1423" s="8"/>
      <c r="GH1423" s="8"/>
      <c r="GI1423" s="8"/>
      <c r="GJ1423" s="8"/>
      <c r="GK1423" s="8"/>
      <c r="GL1423" s="8"/>
      <c r="GM1423" s="8"/>
      <c r="GN1423" s="8"/>
      <c r="GO1423" s="8"/>
      <c r="GP1423" s="8"/>
      <c r="GQ1423" s="8"/>
      <c r="GR1423" s="8"/>
      <c r="GS1423" s="8"/>
      <c r="GT1423" s="8"/>
      <c r="GU1423" s="8"/>
      <c r="GV1423" s="8"/>
      <c r="GW1423" s="8"/>
      <c r="GX1423" s="8"/>
      <c r="GY1423" s="8"/>
      <c r="GZ1423" s="8"/>
      <c r="HA1423" s="8"/>
      <c r="HB1423" s="8"/>
      <c r="HC1423" s="8"/>
      <c r="HD1423" s="8"/>
      <c r="HE1423" s="8"/>
      <c r="HF1423" s="8"/>
      <c r="HG1423" s="8"/>
      <c r="HH1423" s="8"/>
      <c r="HI1423" s="8"/>
      <c r="HJ1423" s="8"/>
      <c r="HK1423" s="8"/>
      <c r="HL1423" s="8"/>
      <c r="HM1423" s="8"/>
      <c r="HN1423" s="8"/>
      <c r="HO1423" s="8"/>
      <c r="HP1423" s="8"/>
      <c r="HQ1423" s="8"/>
      <c r="HR1423" s="8"/>
      <c r="HS1423" s="8"/>
      <c r="HT1423" s="8"/>
      <c r="HU1423" s="8"/>
      <c r="HV1423" s="8"/>
      <c r="HW1423" s="8"/>
      <c r="HX1423" s="8"/>
      <c r="HY1423" s="8"/>
      <c r="HZ1423" s="8"/>
      <c r="IA1423" s="8"/>
      <c r="IB1423" s="8"/>
      <c r="IC1423" s="8"/>
      <c r="ID1423" s="8"/>
      <c r="IE1423" s="8"/>
      <c r="IF1423" s="8"/>
    </row>
    <row r="1424" spans="1:240">
      <c r="A1424" s="14"/>
      <c r="B1424" s="23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3"/>
      <c r="AB1424" s="23"/>
      <c r="AC1424" s="23"/>
      <c r="AD1424" s="23"/>
      <c r="AE1424" s="23"/>
      <c r="AF1424" s="23"/>
      <c r="AG1424" s="23"/>
      <c r="AH1424" s="23"/>
      <c r="AI1424" s="23"/>
      <c r="AJ1424" s="23"/>
      <c r="AK1424" s="23"/>
      <c r="AL1424" s="23"/>
      <c r="AM1424" s="23"/>
      <c r="AN1424" s="23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8"/>
      <c r="BS1424" s="8"/>
      <c r="BT1424" s="8"/>
      <c r="BU1424" s="8"/>
      <c r="BV1424" s="8"/>
      <c r="BW1424" s="8"/>
      <c r="BX1424" s="8"/>
      <c r="BY1424" s="8"/>
      <c r="BZ1424" s="8"/>
      <c r="CA1424" s="8"/>
      <c r="CB1424" s="8"/>
      <c r="CC1424" s="8"/>
      <c r="CD1424" s="8"/>
      <c r="CE1424" s="8"/>
      <c r="CF1424" s="8"/>
      <c r="CG1424" s="8"/>
      <c r="CH1424" s="8"/>
      <c r="CI1424" s="8"/>
      <c r="CJ1424" s="8"/>
      <c r="CK1424" s="8"/>
      <c r="CL1424" s="8"/>
      <c r="CM1424" s="8"/>
      <c r="CN1424" s="8"/>
      <c r="CO1424" s="8"/>
      <c r="CP1424" s="8"/>
      <c r="CQ1424" s="8"/>
      <c r="CR1424" s="8"/>
      <c r="CS1424" s="8"/>
      <c r="CT1424" s="8"/>
      <c r="CU1424" s="8"/>
      <c r="CV1424" s="8"/>
      <c r="CW1424" s="8"/>
      <c r="CX1424" s="8"/>
      <c r="CY1424" s="8"/>
      <c r="CZ1424" s="8"/>
      <c r="DA1424" s="8"/>
      <c r="DB1424" s="8"/>
      <c r="DC1424" s="8"/>
      <c r="DD1424" s="8"/>
      <c r="DE1424" s="8"/>
      <c r="DF1424" s="8"/>
      <c r="DG1424" s="8"/>
      <c r="DH1424" s="8"/>
      <c r="DI1424" s="8"/>
      <c r="DJ1424" s="8"/>
      <c r="DK1424" s="8"/>
      <c r="DL1424" s="8"/>
      <c r="DM1424" s="8"/>
      <c r="DN1424" s="8"/>
      <c r="DO1424" s="8"/>
      <c r="DP1424" s="8"/>
      <c r="DQ1424" s="8"/>
      <c r="DR1424" s="8"/>
      <c r="DS1424" s="8"/>
      <c r="DT1424" s="8"/>
      <c r="DU1424" s="8"/>
      <c r="DV1424" s="8"/>
      <c r="DW1424" s="8"/>
      <c r="DX1424" s="8"/>
      <c r="DY1424" s="8"/>
      <c r="DZ1424" s="8"/>
      <c r="EA1424" s="8"/>
      <c r="EB1424" s="8"/>
      <c r="EC1424" s="8"/>
      <c r="ED1424" s="8"/>
      <c r="EE1424" s="8"/>
      <c r="EF1424" s="8"/>
      <c r="EG1424" s="8"/>
      <c r="EH1424" s="8"/>
      <c r="EI1424" s="8"/>
      <c r="EJ1424" s="8"/>
      <c r="EK1424" s="8"/>
      <c r="EL1424" s="8"/>
      <c r="EM1424" s="8"/>
      <c r="EN1424" s="8"/>
      <c r="EO1424" s="8"/>
      <c r="EP1424" s="8"/>
      <c r="EQ1424" s="8"/>
      <c r="ER1424" s="8"/>
      <c r="ES1424" s="8"/>
      <c r="ET1424" s="8"/>
      <c r="EU1424" s="8"/>
      <c r="EV1424" s="8"/>
      <c r="EW1424" s="8"/>
      <c r="EX1424" s="8"/>
      <c r="EY1424" s="8"/>
      <c r="EZ1424" s="8"/>
      <c r="FA1424" s="8"/>
      <c r="FB1424" s="8"/>
      <c r="FC1424" s="8"/>
      <c r="FD1424" s="8"/>
      <c r="FE1424" s="8"/>
      <c r="FF1424" s="8"/>
      <c r="FG1424" s="8"/>
      <c r="FH1424" s="8"/>
      <c r="FI1424" s="8"/>
      <c r="FJ1424" s="8"/>
      <c r="FK1424" s="8"/>
      <c r="FL1424" s="8"/>
      <c r="FM1424" s="8"/>
      <c r="FN1424" s="8"/>
      <c r="FO1424" s="8"/>
      <c r="FP1424" s="8"/>
      <c r="FQ1424" s="8"/>
      <c r="FR1424" s="8"/>
      <c r="FS1424" s="8"/>
      <c r="FT1424" s="8"/>
      <c r="FU1424" s="8"/>
      <c r="FV1424" s="8"/>
      <c r="FW1424" s="8"/>
      <c r="FX1424" s="8"/>
      <c r="FY1424" s="8"/>
      <c r="FZ1424" s="8"/>
      <c r="GA1424" s="8"/>
      <c r="GB1424" s="8"/>
      <c r="GC1424" s="8"/>
      <c r="GD1424" s="8"/>
      <c r="GE1424" s="8"/>
      <c r="GF1424" s="8"/>
      <c r="GG1424" s="8"/>
      <c r="GH1424" s="8"/>
      <c r="GI1424" s="8"/>
      <c r="GJ1424" s="8"/>
      <c r="GK1424" s="8"/>
      <c r="GL1424" s="8"/>
      <c r="GM1424" s="8"/>
      <c r="GN1424" s="8"/>
      <c r="GO1424" s="8"/>
      <c r="GP1424" s="8"/>
      <c r="GQ1424" s="8"/>
      <c r="GR1424" s="8"/>
      <c r="GS1424" s="8"/>
      <c r="GT1424" s="8"/>
      <c r="GU1424" s="8"/>
      <c r="GV1424" s="8"/>
      <c r="GW1424" s="8"/>
      <c r="GX1424" s="8"/>
      <c r="GY1424" s="8"/>
      <c r="GZ1424" s="8"/>
      <c r="HA1424" s="8"/>
      <c r="HB1424" s="8"/>
      <c r="HC1424" s="8"/>
      <c r="HD1424" s="8"/>
      <c r="HE1424" s="8"/>
      <c r="HF1424" s="8"/>
      <c r="HG1424" s="8"/>
      <c r="HH1424" s="8"/>
      <c r="HI1424" s="8"/>
      <c r="HJ1424" s="8"/>
      <c r="HK1424" s="8"/>
      <c r="HL1424" s="8"/>
      <c r="HM1424" s="8"/>
      <c r="HN1424" s="8"/>
      <c r="HO1424" s="8"/>
      <c r="HP1424" s="8"/>
      <c r="HQ1424" s="8"/>
      <c r="HR1424" s="8"/>
      <c r="HS1424" s="8"/>
      <c r="HT1424" s="8"/>
      <c r="HU1424" s="8"/>
      <c r="HV1424" s="8"/>
      <c r="HW1424" s="8"/>
      <c r="HX1424" s="8"/>
      <c r="HY1424" s="8"/>
      <c r="HZ1424" s="8"/>
      <c r="IA1424" s="8"/>
      <c r="IB1424" s="8"/>
      <c r="IC1424" s="8"/>
      <c r="ID1424" s="8"/>
      <c r="IE1424" s="8"/>
      <c r="IF1424" s="8"/>
    </row>
    <row r="1425" spans="1:240">
      <c r="A1425" s="14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  <c r="AC1425" s="23"/>
      <c r="AD1425" s="23"/>
      <c r="AE1425" s="23"/>
      <c r="AF1425" s="23"/>
      <c r="AG1425" s="23"/>
      <c r="AH1425" s="23"/>
      <c r="AI1425" s="23"/>
      <c r="AJ1425" s="23"/>
      <c r="AK1425" s="23"/>
      <c r="AL1425" s="23"/>
      <c r="AM1425" s="23"/>
      <c r="AN1425" s="23"/>
      <c r="AO1425" s="8"/>
      <c r="AP1425" s="8"/>
      <c r="AQ1425" s="8"/>
      <c r="AR1425" s="8"/>
      <c r="AS1425" s="8"/>
      <c r="AT1425" s="8"/>
      <c r="AU1425" s="8"/>
      <c r="AV1425" s="8"/>
      <c r="AW1425" s="8"/>
      <c r="AX1425" s="8"/>
      <c r="AY1425" s="8"/>
      <c r="AZ1425" s="8"/>
      <c r="BA1425" s="8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8"/>
      <c r="BS1425" s="8"/>
      <c r="BT1425" s="8"/>
      <c r="BU1425" s="8"/>
      <c r="BV1425" s="8"/>
      <c r="BW1425" s="8"/>
      <c r="BX1425" s="8"/>
      <c r="BY1425" s="8"/>
      <c r="BZ1425" s="8"/>
      <c r="CA1425" s="8"/>
      <c r="CB1425" s="8"/>
      <c r="CC1425" s="8"/>
      <c r="CD1425" s="8"/>
      <c r="CE1425" s="8"/>
      <c r="CF1425" s="8"/>
      <c r="CG1425" s="8"/>
      <c r="CH1425" s="8"/>
      <c r="CI1425" s="8"/>
      <c r="CJ1425" s="8"/>
      <c r="CK1425" s="8"/>
      <c r="CL1425" s="8"/>
      <c r="CM1425" s="8"/>
      <c r="CN1425" s="8"/>
      <c r="CO1425" s="8"/>
      <c r="CP1425" s="8"/>
      <c r="CQ1425" s="8"/>
      <c r="CR1425" s="8"/>
      <c r="CS1425" s="8"/>
      <c r="CT1425" s="8"/>
      <c r="CU1425" s="8"/>
      <c r="CV1425" s="8"/>
      <c r="CW1425" s="8"/>
      <c r="CX1425" s="8"/>
      <c r="CY1425" s="8"/>
      <c r="CZ1425" s="8"/>
      <c r="DA1425" s="8"/>
      <c r="DB1425" s="8"/>
      <c r="DC1425" s="8"/>
      <c r="DD1425" s="8"/>
      <c r="DE1425" s="8"/>
      <c r="DF1425" s="8"/>
      <c r="DG1425" s="8"/>
      <c r="DH1425" s="8"/>
      <c r="DI1425" s="8"/>
      <c r="DJ1425" s="8"/>
      <c r="DK1425" s="8"/>
      <c r="DL1425" s="8"/>
      <c r="DM1425" s="8"/>
      <c r="DN1425" s="8"/>
      <c r="DO1425" s="8"/>
      <c r="DP1425" s="8"/>
      <c r="DQ1425" s="8"/>
      <c r="DR1425" s="8"/>
      <c r="DS1425" s="8"/>
      <c r="DT1425" s="8"/>
      <c r="DU1425" s="8"/>
      <c r="DV1425" s="8"/>
      <c r="DW1425" s="8"/>
      <c r="DX1425" s="8"/>
      <c r="DY1425" s="8"/>
      <c r="DZ1425" s="8"/>
      <c r="EA1425" s="8"/>
      <c r="EB1425" s="8"/>
      <c r="EC1425" s="8"/>
      <c r="ED1425" s="8"/>
      <c r="EE1425" s="8"/>
      <c r="EF1425" s="8"/>
      <c r="EG1425" s="8"/>
      <c r="EH1425" s="8"/>
      <c r="EI1425" s="8"/>
      <c r="EJ1425" s="8"/>
      <c r="EK1425" s="8"/>
      <c r="EL1425" s="8"/>
      <c r="EM1425" s="8"/>
      <c r="EN1425" s="8"/>
      <c r="EO1425" s="8"/>
      <c r="EP1425" s="8"/>
      <c r="EQ1425" s="8"/>
      <c r="ER1425" s="8"/>
      <c r="ES1425" s="8"/>
      <c r="ET1425" s="8"/>
      <c r="EU1425" s="8"/>
      <c r="EV1425" s="8"/>
      <c r="EW1425" s="8"/>
      <c r="EX1425" s="8"/>
      <c r="EY1425" s="8"/>
      <c r="EZ1425" s="8"/>
      <c r="FA1425" s="8"/>
      <c r="FB1425" s="8"/>
      <c r="FC1425" s="8"/>
      <c r="FD1425" s="8"/>
      <c r="FE1425" s="8"/>
      <c r="FF1425" s="8"/>
      <c r="FG1425" s="8"/>
      <c r="FH1425" s="8"/>
      <c r="FI1425" s="8"/>
      <c r="FJ1425" s="8"/>
      <c r="FK1425" s="8"/>
      <c r="FL1425" s="8"/>
      <c r="FM1425" s="8"/>
      <c r="FN1425" s="8"/>
      <c r="FO1425" s="8"/>
      <c r="FP1425" s="8"/>
      <c r="FQ1425" s="8"/>
      <c r="FR1425" s="8"/>
      <c r="FS1425" s="8"/>
      <c r="FT1425" s="8"/>
      <c r="FU1425" s="8"/>
      <c r="FV1425" s="8"/>
      <c r="FW1425" s="8"/>
      <c r="FX1425" s="8"/>
      <c r="FY1425" s="8"/>
      <c r="FZ1425" s="8"/>
      <c r="GA1425" s="8"/>
      <c r="GB1425" s="8"/>
      <c r="GC1425" s="8"/>
      <c r="GD1425" s="8"/>
      <c r="GE1425" s="8"/>
      <c r="GF1425" s="8"/>
      <c r="GG1425" s="8"/>
      <c r="GH1425" s="8"/>
      <c r="GI1425" s="8"/>
      <c r="GJ1425" s="8"/>
      <c r="GK1425" s="8"/>
      <c r="GL1425" s="8"/>
      <c r="GM1425" s="8"/>
      <c r="GN1425" s="8"/>
      <c r="GO1425" s="8"/>
      <c r="GP1425" s="8"/>
      <c r="GQ1425" s="8"/>
      <c r="GR1425" s="8"/>
      <c r="GS1425" s="8"/>
      <c r="GT1425" s="8"/>
      <c r="GU1425" s="8"/>
      <c r="GV1425" s="8"/>
      <c r="GW1425" s="8"/>
      <c r="GX1425" s="8"/>
      <c r="GY1425" s="8"/>
      <c r="GZ1425" s="8"/>
      <c r="HA1425" s="8"/>
      <c r="HB1425" s="8"/>
      <c r="HC1425" s="8"/>
      <c r="HD1425" s="8"/>
      <c r="HE1425" s="8"/>
      <c r="HF1425" s="8"/>
      <c r="HG1425" s="8"/>
      <c r="HH1425" s="8"/>
      <c r="HI1425" s="8"/>
      <c r="HJ1425" s="8"/>
      <c r="HK1425" s="8"/>
      <c r="HL1425" s="8"/>
      <c r="HM1425" s="8"/>
      <c r="HN1425" s="8"/>
      <c r="HO1425" s="8"/>
      <c r="HP1425" s="8"/>
      <c r="HQ1425" s="8"/>
      <c r="HR1425" s="8"/>
      <c r="HS1425" s="8"/>
      <c r="HT1425" s="8"/>
      <c r="HU1425" s="8"/>
      <c r="HV1425" s="8"/>
      <c r="HW1425" s="8"/>
      <c r="HX1425" s="8"/>
      <c r="HY1425" s="8"/>
      <c r="HZ1425" s="8"/>
      <c r="IA1425" s="8"/>
      <c r="IB1425" s="8"/>
      <c r="IC1425" s="8"/>
      <c r="ID1425" s="8"/>
      <c r="IE1425" s="8"/>
      <c r="IF1425" s="8"/>
    </row>
    <row r="1426" spans="1:240">
      <c r="A1426" s="14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3"/>
      <c r="AD1426" s="23"/>
      <c r="AE1426" s="23"/>
      <c r="AF1426" s="23"/>
      <c r="AG1426" s="23"/>
      <c r="AH1426" s="23"/>
      <c r="AI1426" s="23"/>
      <c r="AJ1426" s="23"/>
      <c r="AK1426" s="23"/>
      <c r="AL1426" s="23"/>
      <c r="AM1426" s="23"/>
      <c r="AN1426" s="23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8"/>
      <c r="BS1426" s="8"/>
      <c r="BT1426" s="8"/>
      <c r="BU1426" s="8"/>
      <c r="BV1426" s="8"/>
      <c r="BW1426" s="8"/>
      <c r="BX1426" s="8"/>
      <c r="BY1426" s="8"/>
      <c r="BZ1426" s="8"/>
      <c r="CA1426" s="8"/>
      <c r="CB1426" s="8"/>
      <c r="CC1426" s="8"/>
      <c r="CD1426" s="8"/>
      <c r="CE1426" s="8"/>
      <c r="CF1426" s="8"/>
      <c r="CG1426" s="8"/>
      <c r="CH1426" s="8"/>
      <c r="CI1426" s="8"/>
      <c r="CJ1426" s="8"/>
      <c r="CK1426" s="8"/>
      <c r="CL1426" s="8"/>
      <c r="CM1426" s="8"/>
      <c r="CN1426" s="8"/>
      <c r="CO1426" s="8"/>
      <c r="CP1426" s="8"/>
      <c r="CQ1426" s="8"/>
      <c r="CR1426" s="8"/>
      <c r="CS1426" s="8"/>
      <c r="CT1426" s="8"/>
      <c r="CU1426" s="8"/>
      <c r="CV1426" s="8"/>
      <c r="CW1426" s="8"/>
      <c r="CX1426" s="8"/>
      <c r="CY1426" s="8"/>
      <c r="CZ1426" s="8"/>
      <c r="DA1426" s="8"/>
      <c r="DB1426" s="8"/>
      <c r="DC1426" s="8"/>
      <c r="DD1426" s="8"/>
      <c r="DE1426" s="8"/>
      <c r="DF1426" s="8"/>
      <c r="DG1426" s="8"/>
      <c r="DH1426" s="8"/>
      <c r="DI1426" s="8"/>
      <c r="DJ1426" s="8"/>
      <c r="DK1426" s="8"/>
      <c r="DL1426" s="8"/>
      <c r="DM1426" s="8"/>
      <c r="DN1426" s="8"/>
      <c r="DO1426" s="8"/>
      <c r="DP1426" s="8"/>
      <c r="DQ1426" s="8"/>
      <c r="DR1426" s="8"/>
      <c r="DS1426" s="8"/>
      <c r="DT1426" s="8"/>
      <c r="DU1426" s="8"/>
      <c r="DV1426" s="8"/>
      <c r="DW1426" s="8"/>
      <c r="DX1426" s="8"/>
      <c r="DY1426" s="8"/>
      <c r="DZ1426" s="8"/>
      <c r="EA1426" s="8"/>
      <c r="EB1426" s="8"/>
      <c r="EC1426" s="8"/>
      <c r="ED1426" s="8"/>
      <c r="EE1426" s="8"/>
      <c r="EF1426" s="8"/>
      <c r="EG1426" s="8"/>
      <c r="EH1426" s="8"/>
      <c r="EI1426" s="8"/>
      <c r="EJ1426" s="8"/>
      <c r="EK1426" s="8"/>
      <c r="EL1426" s="8"/>
      <c r="EM1426" s="8"/>
      <c r="EN1426" s="8"/>
      <c r="EO1426" s="8"/>
      <c r="EP1426" s="8"/>
      <c r="EQ1426" s="8"/>
      <c r="ER1426" s="8"/>
      <c r="ES1426" s="8"/>
      <c r="ET1426" s="8"/>
      <c r="EU1426" s="8"/>
      <c r="EV1426" s="8"/>
      <c r="EW1426" s="8"/>
      <c r="EX1426" s="8"/>
      <c r="EY1426" s="8"/>
      <c r="EZ1426" s="8"/>
      <c r="FA1426" s="8"/>
      <c r="FB1426" s="8"/>
      <c r="FC1426" s="8"/>
      <c r="FD1426" s="8"/>
      <c r="FE1426" s="8"/>
      <c r="FF1426" s="8"/>
      <c r="FG1426" s="8"/>
      <c r="FH1426" s="8"/>
      <c r="FI1426" s="8"/>
      <c r="FJ1426" s="8"/>
      <c r="FK1426" s="8"/>
      <c r="FL1426" s="8"/>
      <c r="FM1426" s="8"/>
      <c r="FN1426" s="8"/>
      <c r="FO1426" s="8"/>
      <c r="FP1426" s="8"/>
      <c r="FQ1426" s="8"/>
      <c r="FR1426" s="8"/>
      <c r="FS1426" s="8"/>
      <c r="FT1426" s="8"/>
      <c r="FU1426" s="8"/>
      <c r="FV1426" s="8"/>
      <c r="FW1426" s="8"/>
      <c r="FX1426" s="8"/>
      <c r="FY1426" s="8"/>
      <c r="FZ1426" s="8"/>
      <c r="GA1426" s="8"/>
      <c r="GB1426" s="8"/>
      <c r="GC1426" s="8"/>
      <c r="GD1426" s="8"/>
      <c r="GE1426" s="8"/>
      <c r="GF1426" s="8"/>
      <c r="GG1426" s="8"/>
      <c r="GH1426" s="8"/>
      <c r="GI1426" s="8"/>
      <c r="GJ1426" s="8"/>
      <c r="GK1426" s="8"/>
      <c r="GL1426" s="8"/>
      <c r="GM1426" s="8"/>
      <c r="GN1426" s="8"/>
      <c r="GO1426" s="8"/>
      <c r="GP1426" s="8"/>
      <c r="GQ1426" s="8"/>
      <c r="GR1426" s="8"/>
      <c r="GS1426" s="8"/>
      <c r="GT1426" s="8"/>
      <c r="GU1426" s="8"/>
      <c r="GV1426" s="8"/>
      <c r="GW1426" s="8"/>
      <c r="GX1426" s="8"/>
      <c r="GY1426" s="8"/>
      <c r="GZ1426" s="8"/>
      <c r="HA1426" s="8"/>
      <c r="HB1426" s="8"/>
      <c r="HC1426" s="8"/>
      <c r="HD1426" s="8"/>
      <c r="HE1426" s="8"/>
      <c r="HF1426" s="8"/>
      <c r="HG1426" s="8"/>
      <c r="HH1426" s="8"/>
      <c r="HI1426" s="8"/>
      <c r="HJ1426" s="8"/>
      <c r="HK1426" s="8"/>
      <c r="HL1426" s="8"/>
      <c r="HM1426" s="8"/>
      <c r="HN1426" s="8"/>
      <c r="HO1426" s="8"/>
      <c r="HP1426" s="8"/>
      <c r="HQ1426" s="8"/>
      <c r="HR1426" s="8"/>
      <c r="HS1426" s="8"/>
      <c r="HT1426" s="8"/>
      <c r="HU1426" s="8"/>
      <c r="HV1426" s="8"/>
      <c r="HW1426" s="8"/>
      <c r="HX1426" s="8"/>
      <c r="HY1426" s="8"/>
      <c r="HZ1426" s="8"/>
      <c r="IA1426" s="8"/>
      <c r="IB1426" s="8"/>
      <c r="IC1426" s="8"/>
      <c r="ID1426" s="8"/>
      <c r="IE1426" s="8"/>
      <c r="IF1426" s="8"/>
    </row>
    <row r="1427" spans="1:240">
      <c r="A1427" s="14"/>
      <c r="B1427" s="23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  <c r="AC1427" s="23"/>
      <c r="AD1427" s="23"/>
      <c r="AE1427" s="23"/>
      <c r="AF1427" s="23"/>
      <c r="AG1427" s="23"/>
      <c r="AH1427" s="23"/>
      <c r="AI1427" s="23"/>
      <c r="AJ1427" s="23"/>
      <c r="AK1427" s="23"/>
      <c r="AL1427" s="23"/>
      <c r="AM1427" s="23"/>
      <c r="AN1427" s="23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8"/>
      <c r="BS1427" s="8"/>
      <c r="BT1427" s="8"/>
      <c r="BU1427" s="8"/>
      <c r="BV1427" s="8"/>
      <c r="BW1427" s="8"/>
      <c r="BX1427" s="8"/>
      <c r="BY1427" s="8"/>
      <c r="BZ1427" s="8"/>
      <c r="CA1427" s="8"/>
      <c r="CB1427" s="8"/>
      <c r="CC1427" s="8"/>
      <c r="CD1427" s="8"/>
      <c r="CE1427" s="8"/>
      <c r="CF1427" s="8"/>
      <c r="CG1427" s="8"/>
      <c r="CH1427" s="8"/>
      <c r="CI1427" s="8"/>
      <c r="CJ1427" s="8"/>
      <c r="CK1427" s="8"/>
      <c r="CL1427" s="8"/>
      <c r="CM1427" s="8"/>
      <c r="CN1427" s="8"/>
      <c r="CO1427" s="8"/>
      <c r="CP1427" s="8"/>
      <c r="CQ1427" s="8"/>
      <c r="CR1427" s="8"/>
      <c r="CS1427" s="8"/>
      <c r="CT1427" s="8"/>
      <c r="CU1427" s="8"/>
      <c r="CV1427" s="8"/>
      <c r="CW1427" s="8"/>
      <c r="CX1427" s="8"/>
      <c r="CY1427" s="8"/>
      <c r="CZ1427" s="8"/>
      <c r="DA1427" s="8"/>
      <c r="DB1427" s="8"/>
      <c r="DC1427" s="8"/>
      <c r="DD1427" s="8"/>
      <c r="DE1427" s="8"/>
      <c r="DF1427" s="8"/>
      <c r="DG1427" s="8"/>
      <c r="DH1427" s="8"/>
      <c r="DI1427" s="8"/>
      <c r="DJ1427" s="8"/>
      <c r="DK1427" s="8"/>
      <c r="DL1427" s="8"/>
      <c r="DM1427" s="8"/>
      <c r="DN1427" s="8"/>
      <c r="DO1427" s="8"/>
      <c r="DP1427" s="8"/>
      <c r="DQ1427" s="8"/>
      <c r="DR1427" s="8"/>
      <c r="DS1427" s="8"/>
      <c r="DT1427" s="8"/>
      <c r="DU1427" s="8"/>
      <c r="DV1427" s="8"/>
      <c r="DW1427" s="8"/>
      <c r="DX1427" s="8"/>
      <c r="DY1427" s="8"/>
      <c r="DZ1427" s="8"/>
      <c r="EA1427" s="8"/>
      <c r="EB1427" s="8"/>
      <c r="EC1427" s="8"/>
      <c r="ED1427" s="8"/>
      <c r="EE1427" s="8"/>
      <c r="EF1427" s="8"/>
      <c r="EG1427" s="8"/>
      <c r="EH1427" s="8"/>
      <c r="EI1427" s="8"/>
      <c r="EJ1427" s="8"/>
      <c r="EK1427" s="8"/>
      <c r="EL1427" s="8"/>
      <c r="EM1427" s="8"/>
      <c r="EN1427" s="8"/>
      <c r="EO1427" s="8"/>
      <c r="EP1427" s="8"/>
      <c r="EQ1427" s="8"/>
      <c r="ER1427" s="8"/>
      <c r="ES1427" s="8"/>
      <c r="ET1427" s="8"/>
      <c r="EU1427" s="8"/>
      <c r="EV1427" s="8"/>
      <c r="EW1427" s="8"/>
      <c r="EX1427" s="8"/>
      <c r="EY1427" s="8"/>
      <c r="EZ1427" s="8"/>
      <c r="FA1427" s="8"/>
      <c r="FB1427" s="8"/>
      <c r="FC1427" s="8"/>
      <c r="FD1427" s="8"/>
      <c r="FE1427" s="8"/>
      <c r="FF1427" s="8"/>
      <c r="FG1427" s="8"/>
      <c r="FH1427" s="8"/>
      <c r="FI1427" s="8"/>
      <c r="FJ1427" s="8"/>
      <c r="FK1427" s="8"/>
      <c r="FL1427" s="8"/>
      <c r="FM1427" s="8"/>
      <c r="FN1427" s="8"/>
      <c r="FO1427" s="8"/>
      <c r="FP1427" s="8"/>
      <c r="FQ1427" s="8"/>
      <c r="FR1427" s="8"/>
      <c r="FS1427" s="8"/>
      <c r="FT1427" s="8"/>
      <c r="FU1427" s="8"/>
      <c r="FV1427" s="8"/>
      <c r="FW1427" s="8"/>
      <c r="FX1427" s="8"/>
      <c r="FY1427" s="8"/>
      <c r="FZ1427" s="8"/>
      <c r="GA1427" s="8"/>
      <c r="GB1427" s="8"/>
      <c r="GC1427" s="8"/>
      <c r="GD1427" s="8"/>
      <c r="GE1427" s="8"/>
      <c r="GF1427" s="8"/>
      <c r="GG1427" s="8"/>
      <c r="GH1427" s="8"/>
      <c r="GI1427" s="8"/>
      <c r="GJ1427" s="8"/>
      <c r="GK1427" s="8"/>
      <c r="GL1427" s="8"/>
      <c r="GM1427" s="8"/>
      <c r="GN1427" s="8"/>
      <c r="GO1427" s="8"/>
      <c r="GP1427" s="8"/>
      <c r="GQ1427" s="8"/>
      <c r="GR1427" s="8"/>
      <c r="GS1427" s="8"/>
      <c r="GT1427" s="8"/>
      <c r="GU1427" s="8"/>
      <c r="GV1427" s="8"/>
      <c r="GW1427" s="8"/>
      <c r="GX1427" s="8"/>
      <c r="GY1427" s="8"/>
      <c r="GZ1427" s="8"/>
      <c r="HA1427" s="8"/>
      <c r="HB1427" s="8"/>
      <c r="HC1427" s="8"/>
      <c r="HD1427" s="8"/>
      <c r="HE1427" s="8"/>
      <c r="HF1427" s="8"/>
      <c r="HG1427" s="8"/>
      <c r="HH1427" s="8"/>
      <c r="HI1427" s="8"/>
      <c r="HJ1427" s="8"/>
      <c r="HK1427" s="8"/>
      <c r="HL1427" s="8"/>
      <c r="HM1427" s="8"/>
      <c r="HN1427" s="8"/>
      <c r="HO1427" s="8"/>
      <c r="HP1427" s="8"/>
      <c r="HQ1427" s="8"/>
      <c r="HR1427" s="8"/>
      <c r="HS1427" s="8"/>
      <c r="HT1427" s="8"/>
      <c r="HU1427" s="8"/>
      <c r="HV1427" s="8"/>
      <c r="HW1427" s="8"/>
      <c r="HX1427" s="8"/>
      <c r="HY1427" s="8"/>
      <c r="HZ1427" s="8"/>
      <c r="IA1427" s="8"/>
      <c r="IB1427" s="8"/>
      <c r="IC1427" s="8"/>
      <c r="ID1427" s="8"/>
      <c r="IE1427" s="8"/>
      <c r="IF1427" s="8"/>
    </row>
    <row r="1428" spans="1:240">
      <c r="A1428" s="14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3"/>
      <c r="AB1428" s="23"/>
      <c r="AC1428" s="23"/>
      <c r="AD1428" s="23"/>
      <c r="AE1428" s="23"/>
      <c r="AF1428" s="23"/>
      <c r="AG1428" s="23"/>
      <c r="AH1428" s="23"/>
      <c r="AI1428" s="23"/>
      <c r="AJ1428" s="23"/>
      <c r="AK1428" s="23"/>
      <c r="AL1428" s="23"/>
      <c r="AM1428" s="23"/>
      <c r="AN1428" s="23"/>
      <c r="AO1428" s="8"/>
      <c r="AP1428" s="8"/>
      <c r="AQ1428" s="8"/>
      <c r="AR1428" s="8"/>
      <c r="AS1428" s="8"/>
      <c r="AT1428" s="8"/>
      <c r="AU1428" s="8"/>
      <c r="AV1428" s="8"/>
      <c r="AW1428" s="8"/>
      <c r="AX1428" s="8"/>
      <c r="AY1428" s="8"/>
      <c r="AZ1428" s="8"/>
      <c r="BA1428" s="8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8"/>
      <c r="BS1428" s="8"/>
      <c r="BT1428" s="8"/>
      <c r="BU1428" s="8"/>
      <c r="BV1428" s="8"/>
      <c r="BW1428" s="8"/>
      <c r="BX1428" s="8"/>
      <c r="BY1428" s="8"/>
      <c r="BZ1428" s="8"/>
      <c r="CA1428" s="8"/>
      <c r="CB1428" s="8"/>
      <c r="CC1428" s="8"/>
      <c r="CD1428" s="8"/>
      <c r="CE1428" s="8"/>
      <c r="CF1428" s="8"/>
      <c r="CG1428" s="8"/>
      <c r="CH1428" s="8"/>
      <c r="CI1428" s="8"/>
      <c r="CJ1428" s="8"/>
      <c r="CK1428" s="8"/>
      <c r="CL1428" s="8"/>
      <c r="CM1428" s="8"/>
      <c r="CN1428" s="8"/>
      <c r="CO1428" s="8"/>
      <c r="CP1428" s="8"/>
      <c r="CQ1428" s="8"/>
      <c r="CR1428" s="8"/>
      <c r="CS1428" s="8"/>
      <c r="CT1428" s="8"/>
      <c r="CU1428" s="8"/>
      <c r="CV1428" s="8"/>
      <c r="CW1428" s="8"/>
      <c r="CX1428" s="8"/>
      <c r="CY1428" s="8"/>
      <c r="CZ1428" s="8"/>
      <c r="DA1428" s="8"/>
      <c r="DB1428" s="8"/>
      <c r="DC1428" s="8"/>
      <c r="DD1428" s="8"/>
      <c r="DE1428" s="8"/>
      <c r="DF1428" s="8"/>
      <c r="DG1428" s="8"/>
      <c r="DH1428" s="8"/>
      <c r="DI1428" s="8"/>
      <c r="DJ1428" s="8"/>
      <c r="DK1428" s="8"/>
      <c r="DL1428" s="8"/>
      <c r="DM1428" s="8"/>
      <c r="DN1428" s="8"/>
      <c r="DO1428" s="8"/>
      <c r="DP1428" s="8"/>
      <c r="DQ1428" s="8"/>
      <c r="DR1428" s="8"/>
      <c r="DS1428" s="8"/>
      <c r="DT1428" s="8"/>
      <c r="DU1428" s="8"/>
      <c r="DV1428" s="8"/>
      <c r="DW1428" s="8"/>
      <c r="DX1428" s="8"/>
      <c r="DY1428" s="8"/>
      <c r="DZ1428" s="8"/>
      <c r="EA1428" s="8"/>
      <c r="EB1428" s="8"/>
      <c r="EC1428" s="8"/>
      <c r="ED1428" s="8"/>
      <c r="EE1428" s="8"/>
      <c r="EF1428" s="8"/>
      <c r="EG1428" s="8"/>
      <c r="EH1428" s="8"/>
      <c r="EI1428" s="8"/>
      <c r="EJ1428" s="8"/>
      <c r="EK1428" s="8"/>
      <c r="EL1428" s="8"/>
      <c r="EM1428" s="8"/>
      <c r="EN1428" s="8"/>
      <c r="EO1428" s="8"/>
      <c r="EP1428" s="8"/>
      <c r="EQ1428" s="8"/>
      <c r="ER1428" s="8"/>
      <c r="ES1428" s="8"/>
      <c r="ET1428" s="8"/>
      <c r="EU1428" s="8"/>
      <c r="EV1428" s="8"/>
      <c r="EW1428" s="8"/>
      <c r="EX1428" s="8"/>
      <c r="EY1428" s="8"/>
      <c r="EZ1428" s="8"/>
      <c r="FA1428" s="8"/>
      <c r="FB1428" s="8"/>
      <c r="FC1428" s="8"/>
      <c r="FD1428" s="8"/>
      <c r="FE1428" s="8"/>
      <c r="FF1428" s="8"/>
      <c r="FG1428" s="8"/>
      <c r="FH1428" s="8"/>
      <c r="FI1428" s="8"/>
      <c r="FJ1428" s="8"/>
      <c r="FK1428" s="8"/>
      <c r="FL1428" s="8"/>
      <c r="FM1428" s="8"/>
      <c r="FN1428" s="8"/>
      <c r="FO1428" s="8"/>
      <c r="FP1428" s="8"/>
      <c r="FQ1428" s="8"/>
      <c r="FR1428" s="8"/>
      <c r="FS1428" s="8"/>
      <c r="FT1428" s="8"/>
      <c r="FU1428" s="8"/>
      <c r="FV1428" s="8"/>
      <c r="FW1428" s="8"/>
      <c r="FX1428" s="8"/>
      <c r="FY1428" s="8"/>
      <c r="FZ1428" s="8"/>
      <c r="GA1428" s="8"/>
      <c r="GB1428" s="8"/>
      <c r="GC1428" s="8"/>
      <c r="GD1428" s="8"/>
      <c r="GE1428" s="8"/>
      <c r="GF1428" s="8"/>
      <c r="GG1428" s="8"/>
      <c r="GH1428" s="8"/>
      <c r="GI1428" s="8"/>
      <c r="GJ1428" s="8"/>
      <c r="GK1428" s="8"/>
      <c r="GL1428" s="8"/>
      <c r="GM1428" s="8"/>
      <c r="GN1428" s="8"/>
      <c r="GO1428" s="8"/>
      <c r="GP1428" s="8"/>
      <c r="GQ1428" s="8"/>
      <c r="GR1428" s="8"/>
      <c r="GS1428" s="8"/>
      <c r="GT1428" s="8"/>
      <c r="GU1428" s="8"/>
      <c r="GV1428" s="8"/>
      <c r="GW1428" s="8"/>
      <c r="GX1428" s="8"/>
      <c r="GY1428" s="8"/>
      <c r="GZ1428" s="8"/>
      <c r="HA1428" s="8"/>
      <c r="HB1428" s="8"/>
      <c r="HC1428" s="8"/>
      <c r="HD1428" s="8"/>
      <c r="HE1428" s="8"/>
      <c r="HF1428" s="8"/>
      <c r="HG1428" s="8"/>
      <c r="HH1428" s="8"/>
      <c r="HI1428" s="8"/>
      <c r="HJ1428" s="8"/>
      <c r="HK1428" s="8"/>
      <c r="HL1428" s="8"/>
      <c r="HM1428" s="8"/>
      <c r="HN1428" s="8"/>
      <c r="HO1428" s="8"/>
      <c r="HP1428" s="8"/>
      <c r="HQ1428" s="8"/>
      <c r="HR1428" s="8"/>
      <c r="HS1428" s="8"/>
      <c r="HT1428" s="8"/>
      <c r="HU1428" s="8"/>
      <c r="HV1428" s="8"/>
      <c r="HW1428" s="8"/>
      <c r="HX1428" s="8"/>
      <c r="HY1428" s="8"/>
      <c r="HZ1428" s="8"/>
      <c r="IA1428" s="8"/>
      <c r="IB1428" s="8"/>
      <c r="IC1428" s="8"/>
      <c r="ID1428" s="8"/>
      <c r="IE1428" s="8"/>
      <c r="IF1428" s="8"/>
    </row>
    <row r="1429" spans="1:240">
      <c r="A1429" s="14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3"/>
      <c r="AD1429" s="23"/>
      <c r="AE1429" s="23"/>
      <c r="AF1429" s="23"/>
      <c r="AG1429" s="23"/>
      <c r="AH1429" s="23"/>
      <c r="AI1429" s="23"/>
      <c r="AJ1429" s="23"/>
      <c r="AK1429" s="23"/>
      <c r="AL1429" s="23"/>
      <c r="AM1429" s="23"/>
      <c r="AN1429" s="23"/>
      <c r="AO1429" s="8"/>
      <c r="AP1429" s="8"/>
      <c r="AQ1429" s="8"/>
      <c r="AR1429" s="8"/>
      <c r="AS1429" s="8"/>
      <c r="AT1429" s="8"/>
      <c r="AU1429" s="8"/>
      <c r="AV1429" s="8"/>
      <c r="AW1429" s="8"/>
      <c r="AX1429" s="8"/>
      <c r="AY1429" s="8"/>
      <c r="AZ1429" s="8"/>
      <c r="BA1429" s="8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8"/>
      <c r="BS1429" s="8"/>
      <c r="BT1429" s="8"/>
      <c r="BU1429" s="8"/>
      <c r="BV1429" s="8"/>
      <c r="BW1429" s="8"/>
      <c r="BX1429" s="8"/>
      <c r="BY1429" s="8"/>
      <c r="BZ1429" s="8"/>
      <c r="CA1429" s="8"/>
      <c r="CB1429" s="8"/>
      <c r="CC1429" s="8"/>
      <c r="CD1429" s="8"/>
      <c r="CE1429" s="8"/>
      <c r="CF1429" s="8"/>
      <c r="CG1429" s="8"/>
      <c r="CH1429" s="8"/>
      <c r="CI1429" s="8"/>
      <c r="CJ1429" s="8"/>
      <c r="CK1429" s="8"/>
      <c r="CL1429" s="8"/>
      <c r="CM1429" s="8"/>
      <c r="CN1429" s="8"/>
      <c r="CO1429" s="8"/>
      <c r="CP1429" s="8"/>
      <c r="CQ1429" s="8"/>
      <c r="CR1429" s="8"/>
      <c r="CS1429" s="8"/>
      <c r="CT1429" s="8"/>
      <c r="CU1429" s="8"/>
      <c r="CV1429" s="8"/>
      <c r="CW1429" s="8"/>
      <c r="CX1429" s="8"/>
      <c r="CY1429" s="8"/>
      <c r="CZ1429" s="8"/>
      <c r="DA1429" s="8"/>
      <c r="DB1429" s="8"/>
      <c r="DC1429" s="8"/>
      <c r="DD1429" s="8"/>
      <c r="DE1429" s="8"/>
      <c r="DF1429" s="8"/>
      <c r="DG1429" s="8"/>
      <c r="DH1429" s="8"/>
      <c r="DI1429" s="8"/>
      <c r="DJ1429" s="8"/>
      <c r="DK1429" s="8"/>
      <c r="DL1429" s="8"/>
      <c r="DM1429" s="8"/>
      <c r="DN1429" s="8"/>
      <c r="DO1429" s="8"/>
      <c r="DP1429" s="8"/>
      <c r="DQ1429" s="8"/>
      <c r="DR1429" s="8"/>
      <c r="DS1429" s="8"/>
      <c r="DT1429" s="8"/>
      <c r="DU1429" s="8"/>
      <c r="DV1429" s="8"/>
      <c r="DW1429" s="8"/>
      <c r="DX1429" s="8"/>
      <c r="DY1429" s="8"/>
      <c r="DZ1429" s="8"/>
      <c r="EA1429" s="8"/>
      <c r="EB1429" s="8"/>
      <c r="EC1429" s="8"/>
      <c r="ED1429" s="8"/>
      <c r="EE1429" s="8"/>
      <c r="EF1429" s="8"/>
      <c r="EG1429" s="8"/>
      <c r="EH1429" s="8"/>
      <c r="EI1429" s="8"/>
      <c r="EJ1429" s="8"/>
      <c r="EK1429" s="8"/>
      <c r="EL1429" s="8"/>
      <c r="EM1429" s="8"/>
      <c r="EN1429" s="8"/>
      <c r="EO1429" s="8"/>
      <c r="EP1429" s="8"/>
      <c r="EQ1429" s="8"/>
      <c r="ER1429" s="8"/>
      <c r="ES1429" s="8"/>
      <c r="ET1429" s="8"/>
      <c r="EU1429" s="8"/>
      <c r="EV1429" s="8"/>
      <c r="EW1429" s="8"/>
      <c r="EX1429" s="8"/>
      <c r="EY1429" s="8"/>
      <c r="EZ1429" s="8"/>
      <c r="FA1429" s="8"/>
      <c r="FB1429" s="8"/>
      <c r="FC1429" s="8"/>
      <c r="FD1429" s="8"/>
      <c r="FE1429" s="8"/>
      <c r="FF1429" s="8"/>
      <c r="FG1429" s="8"/>
      <c r="FH1429" s="8"/>
      <c r="FI1429" s="8"/>
      <c r="FJ1429" s="8"/>
      <c r="FK1429" s="8"/>
      <c r="FL1429" s="8"/>
      <c r="FM1429" s="8"/>
      <c r="FN1429" s="8"/>
      <c r="FO1429" s="8"/>
      <c r="FP1429" s="8"/>
      <c r="FQ1429" s="8"/>
      <c r="FR1429" s="8"/>
      <c r="FS1429" s="8"/>
      <c r="FT1429" s="8"/>
      <c r="FU1429" s="8"/>
      <c r="FV1429" s="8"/>
      <c r="FW1429" s="8"/>
      <c r="FX1429" s="8"/>
      <c r="FY1429" s="8"/>
      <c r="FZ1429" s="8"/>
      <c r="GA1429" s="8"/>
      <c r="GB1429" s="8"/>
      <c r="GC1429" s="8"/>
      <c r="GD1429" s="8"/>
      <c r="GE1429" s="8"/>
      <c r="GF1429" s="8"/>
      <c r="GG1429" s="8"/>
      <c r="GH1429" s="8"/>
      <c r="GI1429" s="8"/>
      <c r="GJ1429" s="8"/>
      <c r="GK1429" s="8"/>
      <c r="GL1429" s="8"/>
      <c r="GM1429" s="8"/>
      <c r="GN1429" s="8"/>
      <c r="GO1429" s="8"/>
      <c r="GP1429" s="8"/>
      <c r="GQ1429" s="8"/>
      <c r="GR1429" s="8"/>
      <c r="GS1429" s="8"/>
      <c r="GT1429" s="8"/>
      <c r="GU1429" s="8"/>
      <c r="GV1429" s="8"/>
      <c r="GW1429" s="8"/>
      <c r="GX1429" s="8"/>
      <c r="GY1429" s="8"/>
      <c r="GZ1429" s="8"/>
      <c r="HA1429" s="8"/>
      <c r="HB1429" s="8"/>
      <c r="HC1429" s="8"/>
      <c r="HD1429" s="8"/>
      <c r="HE1429" s="8"/>
      <c r="HF1429" s="8"/>
      <c r="HG1429" s="8"/>
      <c r="HH1429" s="8"/>
      <c r="HI1429" s="8"/>
      <c r="HJ1429" s="8"/>
      <c r="HK1429" s="8"/>
      <c r="HL1429" s="8"/>
      <c r="HM1429" s="8"/>
      <c r="HN1429" s="8"/>
      <c r="HO1429" s="8"/>
      <c r="HP1429" s="8"/>
      <c r="HQ1429" s="8"/>
      <c r="HR1429" s="8"/>
      <c r="HS1429" s="8"/>
      <c r="HT1429" s="8"/>
      <c r="HU1429" s="8"/>
      <c r="HV1429" s="8"/>
      <c r="HW1429" s="8"/>
      <c r="HX1429" s="8"/>
      <c r="HY1429" s="8"/>
      <c r="HZ1429" s="8"/>
      <c r="IA1429" s="8"/>
      <c r="IB1429" s="8"/>
      <c r="IC1429" s="8"/>
      <c r="ID1429" s="8"/>
      <c r="IE1429" s="8"/>
      <c r="IF1429" s="8"/>
    </row>
    <row r="1430" spans="1:240">
      <c r="A1430" s="14"/>
      <c r="B1430" s="23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3"/>
      <c r="AB1430" s="23"/>
      <c r="AC1430" s="23"/>
      <c r="AD1430" s="23"/>
      <c r="AE1430" s="23"/>
      <c r="AF1430" s="23"/>
      <c r="AG1430" s="23"/>
      <c r="AH1430" s="23"/>
      <c r="AI1430" s="23"/>
      <c r="AJ1430" s="23"/>
      <c r="AK1430" s="23"/>
      <c r="AL1430" s="23"/>
      <c r="AM1430" s="23"/>
      <c r="AN1430" s="23"/>
      <c r="AO1430" s="8"/>
      <c r="AP1430" s="8"/>
      <c r="AQ1430" s="8"/>
      <c r="AR1430" s="8"/>
      <c r="AS1430" s="8"/>
      <c r="AT1430" s="8"/>
      <c r="AU1430" s="8"/>
      <c r="AV1430" s="8"/>
      <c r="AW1430" s="8"/>
      <c r="AX1430" s="8"/>
      <c r="AY1430" s="8"/>
      <c r="AZ1430" s="8"/>
      <c r="BA1430" s="8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8"/>
      <c r="BS1430" s="8"/>
      <c r="BT1430" s="8"/>
      <c r="BU1430" s="8"/>
      <c r="BV1430" s="8"/>
      <c r="BW1430" s="8"/>
      <c r="BX1430" s="8"/>
      <c r="BY1430" s="8"/>
      <c r="BZ1430" s="8"/>
      <c r="CA1430" s="8"/>
      <c r="CB1430" s="8"/>
      <c r="CC1430" s="8"/>
      <c r="CD1430" s="8"/>
      <c r="CE1430" s="8"/>
      <c r="CF1430" s="8"/>
      <c r="CG1430" s="8"/>
      <c r="CH1430" s="8"/>
      <c r="CI1430" s="8"/>
      <c r="CJ1430" s="8"/>
      <c r="CK1430" s="8"/>
      <c r="CL1430" s="8"/>
      <c r="CM1430" s="8"/>
      <c r="CN1430" s="8"/>
      <c r="CO1430" s="8"/>
      <c r="CP1430" s="8"/>
      <c r="CQ1430" s="8"/>
      <c r="CR1430" s="8"/>
      <c r="CS1430" s="8"/>
      <c r="CT1430" s="8"/>
      <c r="CU1430" s="8"/>
      <c r="CV1430" s="8"/>
      <c r="CW1430" s="8"/>
      <c r="CX1430" s="8"/>
      <c r="CY1430" s="8"/>
      <c r="CZ1430" s="8"/>
      <c r="DA1430" s="8"/>
      <c r="DB1430" s="8"/>
      <c r="DC1430" s="8"/>
      <c r="DD1430" s="8"/>
      <c r="DE1430" s="8"/>
      <c r="DF1430" s="8"/>
      <c r="DG1430" s="8"/>
      <c r="DH1430" s="8"/>
      <c r="DI1430" s="8"/>
      <c r="DJ1430" s="8"/>
      <c r="DK1430" s="8"/>
      <c r="DL1430" s="8"/>
      <c r="DM1430" s="8"/>
      <c r="DN1430" s="8"/>
      <c r="DO1430" s="8"/>
      <c r="DP1430" s="8"/>
      <c r="DQ1430" s="8"/>
      <c r="DR1430" s="8"/>
      <c r="DS1430" s="8"/>
      <c r="DT1430" s="8"/>
      <c r="DU1430" s="8"/>
      <c r="DV1430" s="8"/>
      <c r="DW1430" s="8"/>
      <c r="DX1430" s="8"/>
      <c r="DY1430" s="8"/>
      <c r="DZ1430" s="8"/>
      <c r="EA1430" s="8"/>
      <c r="EB1430" s="8"/>
      <c r="EC1430" s="8"/>
      <c r="ED1430" s="8"/>
      <c r="EE1430" s="8"/>
      <c r="EF1430" s="8"/>
      <c r="EG1430" s="8"/>
      <c r="EH1430" s="8"/>
      <c r="EI1430" s="8"/>
      <c r="EJ1430" s="8"/>
      <c r="EK1430" s="8"/>
      <c r="EL1430" s="8"/>
      <c r="EM1430" s="8"/>
      <c r="EN1430" s="8"/>
      <c r="EO1430" s="8"/>
      <c r="EP1430" s="8"/>
      <c r="EQ1430" s="8"/>
      <c r="ER1430" s="8"/>
      <c r="ES1430" s="8"/>
      <c r="ET1430" s="8"/>
      <c r="EU1430" s="8"/>
      <c r="EV1430" s="8"/>
      <c r="EW1430" s="8"/>
      <c r="EX1430" s="8"/>
      <c r="EY1430" s="8"/>
      <c r="EZ1430" s="8"/>
      <c r="FA1430" s="8"/>
      <c r="FB1430" s="8"/>
      <c r="FC1430" s="8"/>
      <c r="FD1430" s="8"/>
      <c r="FE1430" s="8"/>
      <c r="FF1430" s="8"/>
      <c r="FG1430" s="8"/>
      <c r="FH1430" s="8"/>
      <c r="FI1430" s="8"/>
      <c r="FJ1430" s="8"/>
      <c r="FK1430" s="8"/>
      <c r="FL1430" s="8"/>
      <c r="FM1430" s="8"/>
      <c r="FN1430" s="8"/>
      <c r="FO1430" s="8"/>
      <c r="FP1430" s="8"/>
      <c r="FQ1430" s="8"/>
      <c r="FR1430" s="8"/>
      <c r="FS1430" s="8"/>
      <c r="FT1430" s="8"/>
      <c r="FU1430" s="8"/>
      <c r="FV1430" s="8"/>
      <c r="FW1430" s="8"/>
      <c r="FX1430" s="8"/>
      <c r="FY1430" s="8"/>
      <c r="FZ1430" s="8"/>
      <c r="GA1430" s="8"/>
      <c r="GB1430" s="8"/>
      <c r="GC1430" s="8"/>
      <c r="GD1430" s="8"/>
      <c r="GE1430" s="8"/>
      <c r="GF1430" s="8"/>
      <c r="GG1430" s="8"/>
      <c r="GH1430" s="8"/>
      <c r="GI1430" s="8"/>
      <c r="GJ1430" s="8"/>
      <c r="GK1430" s="8"/>
      <c r="GL1430" s="8"/>
      <c r="GM1430" s="8"/>
      <c r="GN1430" s="8"/>
      <c r="GO1430" s="8"/>
      <c r="GP1430" s="8"/>
      <c r="GQ1430" s="8"/>
      <c r="GR1430" s="8"/>
      <c r="GS1430" s="8"/>
      <c r="GT1430" s="8"/>
      <c r="GU1430" s="8"/>
      <c r="GV1430" s="8"/>
      <c r="GW1430" s="8"/>
      <c r="GX1430" s="8"/>
      <c r="GY1430" s="8"/>
      <c r="GZ1430" s="8"/>
      <c r="HA1430" s="8"/>
      <c r="HB1430" s="8"/>
      <c r="HC1430" s="8"/>
      <c r="HD1430" s="8"/>
      <c r="HE1430" s="8"/>
      <c r="HF1430" s="8"/>
      <c r="HG1430" s="8"/>
      <c r="HH1430" s="8"/>
      <c r="HI1430" s="8"/>
      <c r="HJ1430" s="8"/>
      <c r="HK1430" s="8"/>
      <c r="HL1430" s="8"/>
      <c r="HM1430" s="8"/>
      <c r="HN1430" s="8"/>
      <c r="HO1430" s="8"/>
      <c r="HP1430" s="8"/>
      <c r="HQ1430" s="8"/>
      <c r="HR1430" s="8"/>
      <c r="HS1430" s="8"/>
      <c r="HT1430" s="8"/>
      <c r="HU1430" s="8"/>
      <c r="HV1430" s="8"/>
      <c r="HW1430" s="8"/>
      <c r="HX1430" s="8"/>
      <c r="HY1430" s="8"/>
      <c r="HZ1430" s="8"/>
      <c r="IA1430" s="8"/>
      <c r="IB1430" s="8"/>
      <c r="IC1430" s="8"/>
      <c r="ID1430" s="8"/>
      <c r="IE1430" s="8"/>
      <c r="IF1430" s="8"/>
    </row>
    <row r="1431" spans="1:240">
      <c r="A1431" s="14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3"/>
      <c r="AB1431" s="23"/>
      <c r="AC1431" s="23"/>
      <c r="AD1431" s="23"/>
      <c r="AE1431" s="23"/>
      <c r="AF1431" s="23"/>
      <c r="AG1431" s="23"/>
      <c r="AH1431" s="23"/>
      <c r="AI1431" s="23"/>
      <c r="AJ1431" s="23"/>
      <c r="AK1431" s="23"/>
      <c r="AL1431" s="23"/>
      <c r="AM1431" s="23"/>
      <c r="AN1431" s="23"/>
      <c r="AO1431" s="8"/>
      <c r="AP1431" s="8"/>
      <c r="AQ1431" s="8"/>
      <c r="AR1431" s="8"/>
      <c r="AS1431" s="8"/>
      <c r="AT1431" s="8"/>
      <c r="AU1431" s="8"/>
      <c r="AV1431" s="8"/>
      <c r="AW1431" s="8"/>
      <c r="AX1431" s="8"/>
      <c r="AY1431" s="8"/>
      <c r="AZ1431" s="8"/>
      <c r="BA1431" s="8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8"/>
      <c r="BS1431" s="8"/>
      <c r="BT1431" s="8"/>
      <c r="BU1431" s="8"/>
      <c r="BV1431" s="8"/>
      <c r="BW1431" s="8"/>
      <c r="BX1431" s="8"/>
      <c r="BY1431" s="8"/>
      <c r="BZ1431" s="8"/>
      <c r="CA1431" s="8"/>
      <c r="CB1431" s="8"/>
      <c r="CC1431" s="8"/>
      <c r="CD1431" s="8"/>
      <c r="CE1431" s="8"/>
      <c r="CF1431" s="8"/>
      <c r="CG1431" s="8"/>
      <c r="CH1431" s="8"/>
      <c r="CI1431" s="8"/>
      <c r="CJ1431" s="8"/>
      <c r="CK1431" s="8"/>
      <c r="CL1431" s="8"/>
      <c r="CM1431" s="8"/>
      <c r="CN1431" s="8"/>
      <c r="CO1431" s="8"/>
      <c r="CP1431" s="8"/>
      <c r="CQ1431" s="8"/>
      <c r="CR1431" s="8"/>
      <c r="CS1431" s="8"/>
      <c r="CT1431" s="8"/>
      <c r="CU1431" s="8"/>
      <c r="CV1431" s="8"/>
      <c r="CW1431" s="8"/>
      <c r="CX1431" s="8"/>
      <c r="CY1431" s="8"/>
      <c r="CZ1431" s="8"/>
      <c r="DA1431" s="8"/>
      <c r="DB1431" s="8"/>
      <c r="DC1431" s="8"/>
      <c r="DD1431" s="8"/>
      <c r="DE1431" s="8"/>
      <c r="DF1431" s="8"/>
      <c r="DG1431" s="8"/>
      <c r="DH1431" s="8"/>
      <c r="DI1431" s="8"/>
      <c r="DJ1431" s="8"/>
      <c r="DK1431" s="8"/>
      <c r="DL1431" s="8"/>
      <c r="DM1431" s="8"/>
      <c r="DN1431" s="8"/>
      <c r="DO1431" s="8"/>
      <c r="DP1431" s="8"/>
      <c r="DQ1431" s="8"/>
      <c r="DR1431" s="8"/>
      <c r="DS1431" s="8"/>
      <c r="DT1431" s="8"/>
      <c r="DU1431" s="8"/>
      <c r="DV1431" s="8"/>
      <c r="DW1431" s="8"/>
      <c r="DX1431" s="8"/>
      <c r="DY1431" s="8"/>
      <c r="DZ1431" s="8"/>
      <c r="EA1431" s="8"/>
      <c r="EB1431" s="8"/>
      <c r="EC1431" s="8"/>
      <c r="ED1431" s="8"/>
      <c r="EE1431" s="8"/>
      <c r="EF1431" s="8"/>
      <c r="EG1431" s="8"/>
      <c r="EH1431" s="8"/>
      <c r="EI1431" s="8"/>
      <c r="EJ1431" s="8"/>
      <c r="EK1431" s="8"/>
      <c r="EL1431" s="8"/>
      <c r="EM1431" s="8"/>
      <c r="EN1431" s="8"/>
      <c r="EO1431" s="8"/>
      <c r="EP1431" s="8"/>
      <c r="EQ1431" s="8"/>
      <c r="ER1431" s="8"/>
      <c r="ES1431" s="8"/>
      <c r="ET1431" s="8"/>
      <c r="EU1431" s="8"/>
      <c r="EV1431" s="8"/>
      <c r="EW1431" s="8"/>
      <c r="EX1431" s="8"/>
      <c r="EY1431" s="8"/>
      <c r="EZ1431" s="8"/>
      <c r="FA1431" s="8"/>
      <c r="FB1431" s="8"/>
      <c r="FC1431" s="8"/>
      <c r="FD1431" s="8"/>
      <c r="FE1431" s="8"/>
      <c r="FF1431" s="8"/>
      <c r="FG1431" s="8"/>
      <c r="FH1431" s="8"/>
      <c r="FI1431" s="8"/>
      <c r="FJ1431" s="8"/>
      <c r="FK1431" s="8"/>
      <c r="FL1431" s="8"/>
      <c r="FM1431" s="8"/>
      <c r="FN1431" s="8"/>
      <c r="FO1431" s="8"/>
      <c r="FP1431" s="8"/>
      <c r="FQ1431" s="8"/>
      <c r="FR1431" s="8"/>
      <c r="FS1431" s="8"/>
      <c r="FT1431" s="8"/>
      <c r="FU1431" s="8"/>
      <c r="FV1431" s="8"/>
      <c r="FW1431" s="8"/>
      <c r="FX1431" s="8"/>
      <c r="FY1431" s="8"/>
      <c r="FZ1431" s="8"/>
      <c r="GA1431" s="8"/>
      <c r="GB1431" s="8"/>
      <c r="GC1431" s="8"/>
      <c r="GD1431" s="8"/>
      <c r="GE1431" s="8"/>
      <c r="GF1431" s="8"/>
      <c r="GG1431" s="8"/>
      <c r="GH1431" s="8"/>
      <c r="GI1431" s="8"/>
      <c r="GJ1431" s="8"/>
      <c r="GK1431" s="8"/>
      <c r="GL1431" s="8"/>
      <c r="GM1431" s="8"/>
      <c r="GN1431" s="8"/>
      <c r="GO1431" s="8"/>
      <c r="GP1431" s="8"/>
      <c r="GQ1431" s="8"/>
      <c r="GR1431" s="8"/>
      <c r="GS1431" s="8"/>
      <c r="GT1431" s="8"/>
      <c r="GU1431" s="8"/>
      <c r="GV1431" s="8"/>
      <c r="GW1431" s="8"/>
      <c r="GX1431" s="8"/>
      <c r="GY1431" s="8"/>
      <c r="GZ1431" s="8"/>
      <c r="HA1431" s="8"/>
      <c r="HB1431" s="8"/>
      <c r="HC1431" s="8"/>
      <c r="HD1431" s="8"/>
      <c r="HE1431" s="8"/>
      <c r="HF1431" s="8"/>
      <c r="HG1431" s="8"/>
      <c r="HH1431" s="8"/>
      <c r="HI1431" s="8"/>
      <c r="HJ1431" s="8"/>
      <c r="HK1431" s="8"/>
      <c r="HL1431" s="8"/>
      <c r="HM1431" s="8"/>
      <c r="HN1431" s="8"/>
      <c r="HO1431" s="8"/>
      <c r="HP1431" s="8"/>
      <c r="HQ1431" s="8"/>
      <c r="HR1431" s="8"/>
      <c r="HS1431" s="8"/>
      <c r="HT1431" s="8"/>
      <c r="HU1431" s="8"/>
      <c r="HV1431" s="8"/>
      <c r="HW1431" s="8"/>
      <c r="HX1431" s="8"/>
      <c r="HY1431" s="8"/>
      <c r="HZ1431" s="8"/>
      <c r="IA1431" s="8"/>
      <c r="IB1431" s="8"/>
      <c r="IC1431" s="8"/>
      <c r="ID1431" s="8"/>
      <c r="IE1431" s="8"/>
      <c r="IF1431" s="8"/>
    </row>
    <row r="1432" spans="1:240">
      <c r="A1432" s="14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3"/>
      <c r="AB1432" s="23"/>
      <c r="AC1432" s="23"/>
      <c r="AD1432" s="23"/>
      <c r="AE1432" s="23"/>
      <c r="AF1432" s="23"/>
      <c r="AG1432" s="23"/>
      <c r="AH1432" s="23"/>
      <c r="AI1432" s="23"/>
      <c r="AJ1432" s="23"/>
      <c r="AK1432" s="23"/>
      <c r="AL1432" s="23"/>
      <c r="AM1432" s="23"/>
      <c r="AN1432" s="23"/>
      <c r="AO1432" s="8"/>
      <c r="AP1432" s="8"/>
      <c r="AQ1432" s="8"/>
      <c r="AR1432" s="8"/>
      <c r="AS1432" s="8"/>
      <c r="AT1432" s="8"/>
      <c r="AU1432" s="8"/>
      <c r="AV1432" s="8"/>
      <c r="AW1432" s="8"/>
      <c r="AX1432" s="8"/>
      <c r="AY1432" s="8"/>
      <c r="AZ1432" s="8"/>
      <c r="BA1432" s="8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8"/>
      <c r="BS1432" s="8"/>
      <c r="BT1432" s="8"/>
      <c r="BU1432" s="8"/>
      <c r="BV1432" s="8"/>
      <c r="BW1432" s="8"/>
      <c r="BX1432" s="8"/>
      <c r="BY1432" s="8"/>
      <c r="BZ1432" s="8"/>
      <c r="CA1432" s="8"/>
      <c r="CB1432" s="8"/>
      <c r="CC1432" s="8"/>
      <c r="CD1432" s="8"/>
      <c r="CE1432" s="8"/>
      <c r="CF1432" s="8"/>
      <c r="CG1432" s="8"/>
      <c r="CH1432" s="8"/>
      <c r="CI1432" s="8"/>
      <c r="CJ1432" s="8"/>
      <c r="CK1432" s="8"/>
      <c r="CL1432" s="8"/>
      <c r="CM1432" s="8"/>
      <c r="CN1432" s="8"/>
      <c r="CO1432" s="8"/>
      <c r="CP1432" s="8"/>
      <c r="CQ1432" s="8"/>
      <c r="CR1432" s="8"/>
      <c r="CS1432" s="8"/>
      <c r="CT1432" s="8"/>
      <c r="CU1432" s="8"/>
      <c r="CV1432" s="8"/>
      <c r="CW1432" s="8"/>
      <c r="CX1432" s="8"/>
      <c r="CY1432" s="8"/>
      <c r="CZ1432" s="8"/>
      <c r="DA1432" s="8"/>
      <c r="DB1432" s="8"/>
      <c r="DC1432" s="8"/>
      <c r="DD1432" s="8"/>
      <c r="DE1432" s="8"/>
      <c r="DF1432" s="8"/>
      <c r="DG1432" s="8"/>
      <c r="DH1432" s="8"/>
      <c r="DI1432" s="8"/>
      <c r="DJ1432" s="8"/>
      <c r="DK1432" s="8"/>
      <c r="DL1432" s="8"/>
      <c r="DM1432" s="8"/>
      <c r="DN1432" s="8"/>
      <c r="DO1432" s="8"/>
      <c r="DP1432" s="8"/>
      <c r="DQ1432" s="8"/>
      <c r="DR1432" s="8"/>
      <c r="DS1432" s="8"/>
      <c r="DT1432" s="8"/>
      <c r="DU1432" s="8"/>
      <c r="DV1432" s="8"/>
      <c r="DW1432" s="8"/>
      <c r="DX1432" s="8"/>
      <c r="DY1432" s="8"/>
      <c r="DZ1432" s="8"/>
      <c r="EA1432" s="8"/>
      <c r="EB1432" s="8"/>
      <c r="EC1432" s="8"/>
      <c r="ED1432" s="8"/>
      <c r="EE1432" s="8"/>
      <c r="EF1432" s="8"/>
      <c r="EG1432" s="8"/>
      <c r="EH1432" s="8"/>
      <c r="EI1432" s="8"/>
      <c r="EJ1432" s="8"/>
      <c r="EK1432" s="8"/>
      <c r="EL1432" s="8"/>
      <c r="EM1432" s="8"/>
      <c r="EN1432" s="8"/>
      <c r="EO1432" s="8"/>
      <c r="EP1432" s="8"/>
      <c r="EQ1432" s="8"/>
      <c r="ER1432" s="8"/>
      <c r="ES1432" s="8"/>
      <c r="ET1432" s="8"/>
      <c r="EU1432" s="8"/>
      <c r="EV1432" s="8"/>
      <c r="EW1432" s="8"/>
      <c r="EX1432" s="8"/>
      <c r="EY1432" s="8"/>
      <c r="EZ1432" s="8"/>
      <c r="FA1432" s="8"/>
      <c r="FB1432" s="8"/>
      <c r="FC1432" s="8"/>
      <c r="FD1432" s="8"/>
      <c r="FE1432" s="8"/>
      <c r="FF1432" s="8"/>
      <c r="FG1432" s="8"/>
      <c r="FH1432" s="8"/>
      <c r="FI1432" s="8"/>
      <c r="FJ1432" s="8"/>
      <c r="FK1432" s="8"/>
      <c r="FL1432" s="8"/>
      <c r="FM1432" s="8"/>
      <c r="FN1432" s="8"/>
      <c r="FO1432" s="8"/>
      <c r="FP1432" s="8"/>
      <c r="FQ1432" s="8"/>
      <c r="FR1432" s="8"/>
      <c r="FS1432" s="8"/>
      <c r="FT1432" s="8"/>
      <c r="FU1432" s="8"/>
      <c r="FV1432" s="8"/>
      <c r="FW1432" s="8"/>
      <c r="FX1432" s="8"/>
      <c r="FY1432" s="8"/>
      <c r="FZ1432" s="8"/>
      <c r="GA1432" s="8"/>
      <c r="GB1432" s="8"/>
      <c r="GC1432" s="8"/>
      <c r="GD1432" s="8"/>
      <c r="GE1432" s="8"/>
      <c r="GF1432" s="8"/>
      <c r="GG1432" s="8"/>
      <c r="GH1432" s="8"/>
      <c r="GI1432" s="8"/>
      <c r="GJ1432" s="8"/>
      <c r="GK1432" s="8"/>
      <c r="GL1432" s="8"/>
      <c r="GM1432" s="8"/>
      <c r="GN1432" s="8"/>
      <c r="GO1432" s="8"/>
      <c r="GP1432" s="8"/>
      <c r="GQ1432" s="8"/>
      <c r="GR1432" s="8"/>
      <c r="GS1432" s="8"/>
      <c r="GT1432" s="8"/>
      <c r="GU1432" s="8"/>
      <c r="GV1432" s="8"/>
      <c r="GW1432" s="8"/>
      <c r="GX1432" s="8"/>
      <c r="GY1432" s="8"/>
      <c r="GZ1432" s="8"/>
      <c r="HA1432" s="8"/>
      <c r="HB1432" s="8"/>
      <c r="HC1432" s="8"/>
      <c r="HD1432" s="8"/>
      <c r="HE1432" s="8"/>
      <c r="HF1432" s="8"/>
      <c r="HG1432" s="8"/>
      <c r="HH1432" s="8"/>
      <c r="HI1432" s="8"/>
      <c r="HJ1432" s="8"/>
      <c r="HK1432" s="8"/>
      <c r="HL1432" s="8"/>
      <c r="HM1432" s="8"/>
      <c r="HN1432" s="8"/>
      <c r="HO1432" s="8"/>
      <c r="HP1432" s="8"/>
      <c r="HQ1432" s="8"/>
      <c r="HR1432" s="8"/>
      <c r="HS1432" s="8"/>
      <c r="HT1432" s="8"/>
      <c r="HU1432" s="8"/>
      <c r="HV1432" s="8"/>
      <c r="HW1432" s="8"/>
      <c r="HX1432" s="8"/>
      <c r="HY1432" s="8"/>
      <c r="HZ1432" s="8"/>
      <c r="IA1432" s="8"/>
      <c r="IB1432" s="8"/>
      <c r="IC1432" s="8"/>
      <c r="ID1432" s="8"/>
      <c r="IE1432" s="8"/>
      <c r="IF1432" s="8"/>
    </row>
    <row r="1433" spans="1:240">
      <c r="A1433" s="14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3"/>
      <c r="AB1433" s="23"/>
      <c r="AC1433" s="23"/>
      <c r="AD1433" s="23"/>
      <c r="AE1433" s="23"/>
      <c r="AF1433" s="23"/>
      <c r="AG1433" s="23"/>
      <c r="AH1433" s="23"/>
      <c r="AI1433" s="23"/>
      <c r="AJ1433" s="23"/>
      <c r="AK1433" s="23"/>
      <c r="AL1433" s="23"/>
      <c r="AM1433" s="23"/>
      <c r="AN1433" s="23"/>
      <c r="AO1433" s="8"/>
      <c r="AP1433" s="8"/>
      <c r="AQ1433" s="8"/>
      <c r="AR1433" s="8"/>
      <c r="AS1433" s="8"/>
      <c r="AT1433" s="8"/>
      <c r="AU1433" s="8"/>
      <c r="AV1433" s="8"/>
      <c r="AW1433" s="8"/>
      <c r="AX1433" s="8"/>
      <c r="AY1433" s="8"/>
      <c r="AZ1433" s="8"/>
      <c r="BA1433" s="8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8"/>
      <c r="BS1433" s="8"/>
      <c r="BT1433" s="8"/>
      <c r="BU1433" s="8"/>
      <c r="BV1433" s="8"/>
      <c r="BW1433" s="8"/>
      <c r="BX1433" s="8"/>
      <c r="BY1433" s="8"/>
      <c r="BZ1433" s="8"/>
      <c r="CA1433" s="8"/>
      <c r="CB1433" s="8"/>
      <c r="CC1433" s="8"/>
      <c r="CD1433" s="8"/>
      <c r="CE1433" s="8"/>
      <c r="CF1433" s="8"/>
      <c r="CG1433" s="8"/>
      <c r="CH1433" s="8"/>
      <c r="CI1433" s="8"/>
      <c r="CJ1433" s="8"/>
      <c r="CK1433" s="8"/>
      <c r="CL1433" s="8"/>
      <c r="CM1433" s="8"/>
      <c r="CN1433" s="8"/>
      <c r="CO1433" s="8"/>
      <c r="CP1433" s="8"/>
      <c r="CQ1433" s="8"/>
      <c r="CR1433" s="8"/>
      <c r="CS1433" s="8"/>
      <c r="CT1433" s="8"/>
      <c r="CU1433" s="8"/>
      <c r="CV1433" s="8"/>
      <c r="CW1433" s="8"/>
      <c r="CX1433" s="8"/>
      <c r="CY1433" s="8"/>
      <c r="CZ1433" s="8"/>
      <c r="DA1433" s="8"/>
      <c r="DB1433" s="8"/>
      <c r="DC1433" s="8"/>
      <c r="DD1433" s="8"/>
      <c r="DE1433" s="8"/>
      <c r="DF1433" s="8"/>
      <c r="DG1433" s="8"/>
      <c r="DH1433" s="8"/>
      <c r="DI1433" s="8"/>
      <c r="DJ1433" s="8"/>
      <c r="DK1433" s="8"/>
      <c r="DL1433" s="8"/>
      <c r="DM1433" s="8"/>
      <c r="DN1433" s="8"/>
      <c r="DO1433" s="8"/>
      <c r="DP1433" s="8"/>
      <c r="DQ1433" s="8"/>
      <c r="DR1433" s="8"/>
      <c r="DS1433" s="8"/>
      <c r="DT1433" s="8"/>
      <c r="DU1433" s="8"/>
      <c r="DV1433" s="8"/>
      <c r="DW1433" s="8"/>
      <c r="DX1433" s="8"/>
      <c r="DY1433" s="8"/>
      <c r="DZ1433" s="8"/>
      <c r="EA1433" s="8"/>
      <c r="EB1433" s="8"/>
      <c r="EC1433" s="8"/>
      <c r="ED1433" s="8"/>
      <c r="EE1433" s="8"/>
      <c r="EF1433" s="8"/>
      <c r="EG1433" s="8"/>
      <c r="EH1433" s="8"/>
      <c r="EI1433" s="8"/>
      <c r="EJ1433" s="8"/>
      <c r="EK1433" s="8"/>
      <c r="EL1433" s="8"/>
      <c r="EM1433" s="8"/>
      <c r="EN1433" s="8"/>
      <c r="EO1433" s="8"/>
      <c r="EP1433" s="8"/>
      <c r="EQ1433" s="8"/>
      <c r="ER1433" s="8"/>
      <c r="ES1433" s="8"/>
      <c r="ET1433" s="8"/>
      <c r="EU1433" s="8"/>
      <c r="EV1433" s="8"/>
      <c r="EW1433" s="8"/>
      <c r="EX1433" s="8"/>
      <c r="EY1433" s="8"/>
      <c r="EZ1433" s="8"/>
      <c r="FA1433" s="8"/>
      <c r="FB1433" s="8"/>
      <c r="FC1433" s="8"/>
      <c r="FD1433" s="8"/>
      <c r="FE1433" s="8"/>
      <c r="FF1433" s="8"/>
      <c r="FG1433" s="8"/>
      <c r="FH1433" s="8"/>
      <c r="FI1433" s="8"/>
      <c r="FJ1433" s="8"/>
      <c r="FK1433" s="8"/>
      <c r="FL1433" s="8"/>
      <c r="FM1433" s="8"/>
      <c r="FN1433" s="8"/>
      <c r="FO1433" s="8"/>
      <c r="FP1433" s="8"/>
      <c r="FQ1433" s="8"/>
      <c r="FR1433" s="8"/>
      <c r="FS1433" s="8"/>
      <c r="FT1433" s="8"/>
      <c r="FU1433" s="8"/>
      <c r="FV1433" s="8"/>
      <c r="FW1433" s="8"/>
      <c r="FX1433" s="8"/>
      <c r="FY1433" s="8"/>
      <c r="FZ1433" s="8"/>
      <c r="GA1433" s="8"/>
      <c r="GB1433" s="8"/>
      <c r="GC1433" s="8"/>
      <c r="GD1433" s="8"/>
      <c r="GE1433" s="8"/>
      <c r="GF1433" s="8"/>
      <c r="GG1433" s="8"/>
      <c r="GH1433" s="8"/>
      <c r="GI1433" s="8"/>
      <c r="GJ1433" s="8"/>
      <c r="GK1433" s="8"/>
      <c r="GL1433" s="8"/>
      <c r="GM1433" s="8"/>
      <c r="GN1433" s="8"/>
      <c r="GO1433" s="8"/>
      <c r="GP1433" s="8"/>
      <c r="GQ1433" s="8"/>
      <c r="GR1433" s="8"/>
      <c r="GS1433" s="8"/>
      <c r="GT1433" s="8"/>
      <c r="GU1433" s="8"/>
      <c r="GV1433" s="8"/>
      <c r="GW1433" s="8"/>
      <c r="GX1433" s="8"/>
      <c r="GY1433" s="8"/>
      <c r="GZ1433" s="8"/>
      <c r="HA1433" s="8"/>
      <c r="HB1433" s="8"/>
      <c r="HC1433" s="8"/>
      <c r="HD1433" s="8"/>
      <c r="HE1433" s="8"/>
      <c r="HF1433" s="8"/>
      <c r="HG1433" s="8"/>
      <c r="HH1433" s="8"/>
      <c r="HI1433" s="8"/>
      <c r="HJ1433" s="8"/>
      <c r="HK1433" s="8"/>
      <c r="HL1433" s="8"/>
      <c r="HM1433" s="8"/>
      <c r="HN1433" s="8"/>
      <c r="HO1433" s="8"/>
      <c r="HP1433" s="8"/>
      <c r="HQ1433" s="8"/>
      <c r="HR1433" s="8"/>
      <c r="HS1433" s="8"/>
      <c r="HT1433" s="8"/>
      <c r="HU1433" s="8"/>
      <c r="HV1433" s="8"/>
      <c r="HW1433" s="8"/>
      <c r="HX1433" s="8"/>
      <c r="HY1433" s="8"/>
      <c r="HZ1433" s="8"/>
      <c r="IA1433" s="8"/>
      <c r="IB1433" s="8"/>
      <c r="IC1433" s="8"/>
      <c r="ID1433" s="8"/>
      <c r="IE1433" s="8"/>
      <c r="IF1433" s="8"/>
    </row>
    <row r="1434" spans="1:240">
      <c r="A1434" s="14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3"/>
      <c r="AD1434" s="23"/>
      <c r="AE1434" s="23"/>
      <c r="AF1434" s="23"/>
      <c r="AG1434" s="23"/>
      <c r="AH1434" s="23"/>
      <c r="AI1434" s="23"/>
      <c r="AJ1434" s="23"/>
      <c r="AK1434" s="23"/>
      <c r="AL1434" s="23"/>
      <c r="AM1434" s="23"/>
      <c r="AN1434" s="23"/>
      <c r="AO1434" s="8"/>
      <c r="AP1434" s="8"/>
      <c r="AQ1434" s="8"/>
      <c r="AR1434" s="8"/>
      <c r="AS1434" s="8"/>
      <c r="AT1434" s="8"/>
      <c r="AU1434" s="8"/>
      <c r="AV1434" s="8"/>
      <c r="AW1434" s="8"/>
      <c r="AX1434" s="8"/>
      <c r="AY1434" s="8"/>
      <c r="AZ1434" s="8"/>
      <c r="BA1434" s="8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8"/>
      <c r="BS1434" s="8"/>
      <c r="BT1434" s="8"/>
      <c r="BU1434" s="8"/>
      <c r="BV1434" s="8"/>
      <c r="BW1434" s="8"/>
      <c r="BX1434" s="8"/>
      <c r="BY1434" s="8"/>
      <c r="BZ1434" s="8"/>
      <c r="CA1434" s="8"/>
      <c r="CB1434" s="8"/>
      <c r="CC1434" s="8"/>
      <c r="CD1434" s="8"/>
      <c r="CE1434" s="8"/>
      <c r="CF1434" s="8"/>
      <c r="CG1434" s="8"/>
      <c r="CH1434" s="8"/>
      <c r="CI1434" s="8"/>
      <c r="CJ1434" s="8"/>
      <c r="CK1434" s="8"/>
      <c r="CL1434" s="8"/>
      <c r="CM1434" s="8"/>
      <c r="CN1434" s="8"/>
      <c r="CO1434" s="8"/>
      <c r="CP1434" s="8"/>
      <c r="CQ1434" s="8"/>
      <c r="CR1434" s="8"/>
      <c r="CS1434" s="8"/>
      <c r="CT1434" s="8"/>
      <c r="CU1434" s="8"/>
      <c r="CV1434" s="8"/>
      <c r="CW1434" s="8"/>
      <c r="CX1434" s="8"/>
      <c r="CY1434" s="8"/>
      <c r="CZ1434" s="8"/>
      <c r="DA1434" s="8"/>
      <c r="DB1434" s="8"/>
      <c r="DC1434" s="8"/>
      <c r="DD1434" s="8"/>
      <c r="DE1434" s="8"/>
      <c r="DF1434" s="8"/>
      <c r="DG1434" s="8"/>
      <c r="DH1434" s="8"/>
      <c r="DI1434" s="8"/>
      <c r="DJ1434" s="8"/>
      <c r="DK1434" s="8"/>
      <c r="DL1434" s="8"/>
      <c r="DM1434" s="8"/>
      <c r="DN1434" s="8"/>
      <c r="DO1434" s="8"/>
      <c r="DP1434" s="8"/>
      <c r="DQ1434" s="8"/>
      <c r="DR1434" s="8"/>
      <c r="DS1434" s="8"/>
      <c r="DT1434" s="8"/>
      <c r="DU1434" s="8"/>
      <c r="DV1434" s="8"/>
      <c r="DW1434" s="8"/>
      <c r="DX1434" s="8"/>
      <c r="DY1434" s="8"/>
      <c r="DZ1434" s="8"/>
      <c r="EA1434" s="8"/>
      <c r="EB1434" s="8"/>
      <c r="EC1434" s="8"/>
      <c r="ED1434" s="8"/>
      <c r="EE1434" s="8"/>
      <c r="EF1434" s="8"/>
      <c r="EG1434" s="8"/>
      <c r="EH1434" s="8"/>
      <c r="EI1434" s="8"/>
      <c r="EJ1434" s="8"/>
      <c r="EK1434" s="8"/>
      <c r="EL1434" s="8"/>
      <c r="EM1434" s="8"/>
      <c r="EN1434" s="8"/>
      <c r="EO1434" s="8"/>
      <c r="EP1434" s="8"/>
      <c r="EQ1434" s="8"/>
      <c r="ER1434" s="8"/>
      <c r="ES1434" s="8"/>
      <c r="ET1434" s="8"/>
      <c r="EU1434" s="8"/>
      <c r="EV1434" s="8"/>
      <c r="EW1434" s="8"/>
      <c r="EX1434" s="8"/>
      <c r="EY1434" s="8"/>
      <c r="EZ1434" s="8"/>
      <c r="FA1434" s="8"/>
      <c r="FB1434" s="8"/>
      <c r="FC1434" s="8"/>
      <c r="FD1434" s="8"/>
      <c r="FE1434" s="8"/>
      <c r="FF1434" s="8"/>
      <c r="FG1434" s="8"/>
      <c r="FH1434" s="8"/>
      <c r="FI1434" s="8"/>
      <c r="FJ1434" s="8"/>
      <c r="FK1434" s="8"/>
      <c r="FL1434" s="8"/>
      <c r="FM1434" s="8"/>
      <c r="FN1434" s="8"/>
      <c r="FO1434" s="8"/>
      <c r="FP1434" s="8"/>
      <c r="FQ1434" s="8"/>
      <c r="FR1434" s="8"/>
      <c r="FS1434" s="8"/>
      <c r="FT1434" s="8"/>
      <c r="FU1434" s="8"/>
      <c r="FV1434" s="8"/>
      <c r="FW1434" s="8"/>
      <c r="FX1434" s="8"/>
      <c r="FY1434" s="8"/>
      <c r="FZ1434" s="8"/>
      <c r="GA1434" s="8"/>
      <c r="GB1434" s="8"/>
      <c r="GC1434" s="8"/>
      <c r="GD1434" s="8"/>
      <c r="GE1434" s="8"/>
      <c r="GF1434" s="8"/>
      <c r="GG1434" s="8"/>
      <c r="GH1434" s="8"/>
      <c r="GI1434" s="8"/>
      <c r="GJ1434" s="8"/>
      <c r="GK1434" s="8"/>
      <c r="GL1434" s="8"/>
      <c r="GM1434" s="8"/>
      <c r="GN1434" s="8"/>
      <c r="GO1434" s="8"/>
      <c r="GP1434" s="8"/>
      <c r="GQ1434" s="8"/>
      <c r="GR1434" s="8"/>
      <c r="GS1434" s="8"/>
      <c r="GT1434" s="8"/>
      <c r="GU1434" s="8"/>
      <c r="GV1434" s="8"/>
      <c r="GW1434" s="8"/>
      <c r="GX1434" s="8"/>
      <c r="GY1434" s="8"/>
      <c r="GZ1434" s="8"/>
      <c r="HA1434" s="8"/>
      <c r="HB1434" s="8"/>
      <c r="HC1434" s="8"/>
      <c r="HD1434" s="8"/>
      <c r="HE1434" s="8"/>
      <c r="HF1434" s="8"/>
      <c r="HG1434" s="8"/>
      <c r="HH1434" s="8"/>
      <c r="HI1434" s="8"/>
      <c r="HJ1434" s="8"/>
      <c r="HK1434" s="8"/>
      <c r="HL1434" s="8"/>
      <c r="HM1434" s="8"/>
      <c r="HN1434" s="8"/>
      <c r="HO1434" s="8"/>
      <c r="HP1434" s="8"/>
      <c r="HQ1434" s="8"/>
      <c r="HR1434" s="8"/>
      <c r="HS1434" s="8"/>
      <c r="HT1434" s="8"/>
      <c r="HU1434" s="8"/>
      <c r="HV1434" s="8"/>
      <c r="HW1434" s="8"/>
      <c r="HX1434" s="8"/>
      <c r="HY1434" s="8"/>
      <c r="HZ1434" s="8"/>
      <c r="IA1434" s="8"/>
      <c r="IB1434" s="8"/>
      <c r="IC1434" s="8"/>
      <c r="ID1434" s="8"/>
      <c r="IE1434" s="8"/>
      <c r="IF1434" s="8"/>
    </row>
    <row r="1435" spans="1:240">
      <c r="A1435" s="14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  <c r="AC1435" s="23"/>
      <c r="AD1435" s="23"/>
      <c r="AE1435" s="23"/>
      <c r="AF1435" s="23"/>
      <c r="AG1435" s="23"/>
      <c r="AH1435" s="23"/>
      <c r="AI1435" s="23"/>
      <c r="AJ1435" s="23"/>
      <c r="AK1435" s="23"/>
      <c r="AL1435" s="23"/>
      <c r="AM1435" s="23"/>
      <c r="AN1435" s="23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8"/>
      <c r="BS1435" s="8"/>
      <c r="BT1435" s="8"/>
      <c r="BU1435" s="8"/>
      <c r="BV1435" s="8"/>
      <c r="BW1435" s="8"/>
      <c r="BX1435" s="8"/>
      <c r="BY1435" s="8"/>
      <c r="BZ1435" s="8"/>
      <c r="CA1435" s="8"/>
      <c r="CB1435" s="8"/>
      <c r="CC1435" s="8"/>
      <c r="CD1435" s="8"/>
      <c r="CE1435" s="8"/>
      <c r="CF1435" s="8"/>
      <c r="CG1435" s="8"/>
      <c r="CH1435" s="8"/>
      <c r="CI1435" s="8"/>
      <c r="CJ1435" s="8"/>
      <c r="CK1435" s="8"/>
      <c r="CL1435" s="8"/>
      <c r="CM1435" s="8"/>
      <c r="CN1435" s="8"/>
      <c r="CO1435" s="8"/>
      <c r="CP1435" s="8"/>
      <c r="CQ1435" s="8"/>
      <c r="CR1435" s="8"/>
      <c r="CS1435" s="8"/>
      <c r="CT1435" s="8"/>
      <c r="CU1435" s="8"/>
      <c r="CV1435" s="8"/>
      <c r="CW1435" s="8"/>
      <c r="CX1435" s="8"/>
      <c r="CY1435" s="8"/>
      <c r="CZ1435" s="8"/>
      <c r="DA1435" s="8"/>
      <c r="DB1435" s="8"/>
      <c r="DC1435" s="8"/>
      <c r="DD1435" s="8"/>
      <c r="DE1435" s="8"/>
      <c r="DF1435" s="8"/>
      <c r="DG1435" s="8"/>
      <c r="DH1435" s="8"/>
      <c r="DI1435" s="8"/>
      <c r="DJ1435" s="8"/>
      <c r="DK1435" s="8"/>
      <c r="DL1435" s="8"/>
      <c r="DM1435" s="8"/>
      <c r="DN1435" s="8"/>
      <c r="DO1435" s="8"/>
      <c r="DP1435" s="8"/>
      <c r="DQ1435" s="8"/>
      <c r="DR1435" s="8"/>
      <c r="DS1435" s="8"/>
      <c r="DT1435" s="8"/>
      <c r="DU1435" s="8"/>
      <c r="DV1435" s="8"/>
      <c r="DW1435" s="8"/>
      <c r="DX1435" s="8"/>
      <c r="DY1435" s="8"/>
      <c r="DZ1435" s="8"/>
      <c r="EA1435" s="8"/>
      <c r="EB1435" s="8"/>
      <c r="EC1435" s="8"/>
      <c r="ED1435" s="8"/>
      <c r="EE1435" s="8"/>
      <c r="EF1435" s="8"/>
      <c r="EG1435" s="8"/>
      <c r="EH1435" s="8"/>
      <c r="EI1435" s="8"/>
      <c r="EJ1435" s="8"/>
      <c r="EK1435" s="8"/>
      <c r="EL1435" s="8"/>
      <c r="EM1435" s="8"/>
      <c r="EN1435" s="8"/>
      <c r="EO1435" s="8"/>
      <c r="EP1435" s="8"/>
      <c r="EQ1435" s="8"/>
      <c r="ER1435" s="8"/>
      <c r="ES1435" s="8"/>
      <c r="ET1435" s="8"/>
      <c r="EU1435" s="8"/>
      <c r="EV1435" s="8"/>
      <c r="EW1435" s="8"/>
      <c r="EX1435" s="8"/>
      <c r="EY1435" s="8"/>
      <c r="EZ1435" s="8"/>
      <c r="FA1435" s="8"/>
      <c r="FB1435" s="8"/>
      <c r="FC1435" s="8"/>
      <c r="FD1435" s="8"/>
      <c r="FE1435" s="8"/>
      <c r="FF1435" s="8"/>
      <c r="FG1435" s="8"/>
      <c r="FH1435" s="8"/>
      <c r="FI1435" s="8"/>
      <c r="FJ1435" s="8"/>
      <c r="FK1435" s="8"/>
      <c r="FL1435" s="8"/>
      <c r="FM1435" s="8"/>
      <c r="FN1435" s="8"/>
      <c r="FO1435" s="8"/>
      <c r="FP1435" s="8"/>
      <c r="FQ1435" s="8"/>
      <c r="FR1435" s="8"/>
      <c r="FS1435" s="8"/>
      <c r="FT1435" s="8"/>
      <c r="FU1435" s="8"/>
      <c r="FV1435" s="8"/>
      <c r="FW1435" s="8"/>
      <c r="FX1435" s="8"/>
      <c r="FY1435" s="8"/>
      <c r="FZ1435" s="8"/>
      <c r="GA1435" s="8"/>
      <c r="GB1435" s="8"/>
      <c r="GC1435" s="8"/>
      <c r="GD1435" s="8"/>
      <c r="GE1435" s="8"/>
      <c r="GF1435" s="8"/>
      <c r="GG1435" s="8"/>
      <c r="GH1435" s="8"/>
      <c r="GI1435" s="8"/>
      <c r="GJ1435" s="8"/>
      <c r="GK1435" s="8"/>
      <c r="GL1435" s="8"/>
      <c r="GM1435" s="8"/>
      <c r="GN1435" s="8"/>
      <c r="GO1435" s="8"/>
      <c r="GP1435" s="8"/>
      <c r="GQ1435" s="8"/>
      <c r="GR1435" s="8"/>
      <c r="GS1435" s="8"/>
      <c r="GT1435" s="8"/>
      <c r="GU1435" s="8"/>
      <c r="GV1435" s="8"/>
      <c r="GW1435" s="8"/>
      <c r="GX1435" s="8"/>
      <c r="GY1435" s="8"/>
      <c r="GZ1435" s="8"/>
      <c r="HA1435" s="8"/>
      <c r="HB1435" s="8"/>
      <c r="HC1435" s="8"/>
      <c r="HD1435" s="8"/>
      <c r="HE1435" s="8"/>
      <c r="HF1435" s="8"/>
      <c r="HG1435" s="8"/>
      <c r="HH1435" s="8"/>
      <c r="HI1435" s="8"/>
      <c r="HJ1435" s="8"/>
      <c r="HK1435" s="8"/>
      <c r="HL1435" s="8"/>
      <c r="HM1435" s="8"/>
      <c r="HN1435" s="8"/>
      <c r="HO1435" s="8"/>
      <c r="HP1435" s="8"/>
      <c r="HQ1435" s="8"/>
      <c r="HR1435" s="8"/>
      <c r="HS1435" s="8"/>
      <c r="HT1435" s="8"/>
      <c r="HU1435" s="8"/>
      <c r="HV1435" s="8"/>
      <c r="HW1435" s="8"/>
      <c r="HX1435" s="8"/>
      <c r="HY1435" s="8"/>
      <c r="HZ1435" s="8"/>
      <c r="IA1435" s="8"/>
      <c r="IB1435" s="8"/>
      <c r="IC1435" s="8"/>
      <c r="ID1435" s="8"/>
      <c r="IE1435" s="8"/>
      <c r="IF1435" s="8"/>
    </row>
    <row r="1436" spans="1:240">
      <c r="A1436" s="14"/>
      <c r="B1436" s="23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  <c r="AJ1436" s="23"/>
      <c r="AK1436" s="23"/>
      <c r="AL1436" s="23"/>
      <c r="AM1436" s="23"/>
      <c r="AN1436" s="23"/>
      <c r="AO1436" s="8"/>
      <c r="AP1436" s="8"/>
      <c r="AQ1436" s="8"/>
      <c r="AR1436" s="8"/>
      <c r="AS1436" s="8"/>
      <c r="AT1436" s="8"/>
      <c r="AU1436" s="8"/>
      <c r="AV1436" s="8"/>
      <c r="AW1436" s="8"/>
      <c r="AX1436" s="8"/>
      <c r="AY1436" s="8"/>
      <c r="AZ1436" s="8"/>
      <c r="BA1436" s="8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8"/>
      <c r="BS1436" s="8"/>
      <c r="BT1436" s="8"/>
      <c r="BU1436" s="8"/>
      <c r="BV1436" s="8"/>
      <c r="BW1436" s="8"/>
      <c r="BX1436" s="8"/>
      <c r="BY1436" s="8"/>
      <c r="BZ1436" s="8"/>
      <c r="CA1436" s="8"/>
      <c r="CB1436" s="8"/>
      <c r="CC1436" s="8"/>
      <c r="CD1436" s="8"/>
      <c r="CE1436" s="8"/>
      <c r="CF1436" s="8"/>
      <c r="CG1436" s="8"/>
      <c r="CH1436" s="8"/>
      <c r="CI1436" s="8"/>
      <c r="CJ1436" s="8"/>
      <c r="CK1436" s="8"/>
      <c r="CL1436" s="8"/>
      <c r="CM1436" s="8"/>
      <c r="CN1436" s="8"/>
      <c r="CO1436" s="8"/>
      <c r="CP1436" s="8"/>
      <c r="CQ1436" s="8"/>
      <c r="CR1436" s="8"/>
      <c r="CS1436" s="8"/>
      <c r="CT1436" s="8"/>
      <c r="CU1436" s="8"/>
      <c r="CV1436" s="8"/>
      <c r="CW1436" s="8"/>
      <c r="CX1436" s="8"/>
      <c r="CY1436" s="8"/>
      <c r="CZ1436" s="8"/>
      <c r="DA1436" s="8"/>
      <c r="DB1436" s="8"/>
      <c r="DC1436" s="8"/>
      <c r="DD1436" s="8"/>
      <c r="DE1436" s="8"/>
      <c r="DF1436" s="8"/>
      <c r="DG1436" s="8"/>
      <c r="DH1436" s="8"/>
      <c r="DI1436" s="8"/>
      <c r="DJ1436" s="8"/>
      <c r="DK1436" s="8"/>
      <c r="DL1436" s="8"/>
      <c r="DM1436" s="8"/>
      <c r="DN1436" s="8"/>
      <c r="DO1436" s="8"/>
      <c r="DP1436" s="8"/>
      <c r="DQ1436" s="8"/>
      <c r="DR1436" s="8"/>
      <c r="DS1436" s="8"/>
      <c r="DT1436" s="8"/>
      <c r="DU1436" s="8"/>
      <c r="DV1436" s="8"/>
      <c r="DW1436" s="8"/>
      <c r="DX1436" s="8"/>
      <c r="DY1436" s="8"/>
      <c r="DZ1436" s="8"/>
      <c r="EA1436" s="8"/>
      <c r="EB1436" s="8"/>
      <c r="EC1436" s="8"/>
      <c r="ED1436" s="8"/>
      <c r="EE1436" s="8"/>
      <c r="EF1436" s="8"/>
      <c r="EG1436" s="8"/>
      <c r="EH1436" s="8"/>
      <c r="EI1436" s="8"/>
      <c r="EJ1436" s="8"/>
      <c r="EK1436" s="8"/>
      <c r="EL1436" s="8"/>
      <c r="EM1436" s="8"/>
      <c r="EN1436" s="8"/>
      <c r="EO1436" s="8"/>
      <c r="EP1436" s="8"/>
      <c r="EQ1436" s="8"/>
      <c r="ER1436" s="8"/>
      <c r="ES1436" s="8"/>
      <c r="ET1436" s="8"/>
      <c r="EU1436" s="8"/>
      <c r="EV1436" s="8"/>
      <c r="EW1436" s="8"/>
      <c r="EX1436" s="8"/>
      <c r="EY1436" s="8"/>
      <c r="EZ1436" s="8"/>
      <c r="FA1436" s="8"/>
      <c r="FB1436" s="8"/>
      <c r="FC1436" s="8"/>
      <c r="FD1436" s="8"/>
      <c r="FE1436" s="8"/>
      <c r="FF1436" s="8"/>
      <c r="FG1436" s="8"/>
      <c r="FH1436" s="8"/>
      <c r="FI1436" s="8"/>
      <c r="FJ1436" s="8"/>
      <c r="FK1436" s="8"/>
      <c r="FL1436" s="8"/>
      <c r="FM1436" s="8"/>
      <c r="FN1436" s="8"/>
      <c r="FO1436" s="8"/>
      <c r="FP1436" s="8"/>
      <c r="FQ1436" s="8"/>
      <c r="FR1436" s="8"/>
      <c r="FS1436" s="8"/>
      <c r="FT1436" s="8"/>
      <c r="FU1436" s="8"/>
      <c r="FV1436" s="8"/>
      <c r="FW1436" s="8"/>
      <c r="FX1436" s="8"/>
      <c r="FY1436" s="8"/>
      <c r="FZ1436" s="8"/>
      <c r="GA1436" s="8"/>
      <c r="GB1436" s="8"/>
      <c r="GC1436" s="8"/>
      <c r="GD1436" s="8"/>
      <c r="GE1436" s="8"/>
      <c r="GF1436" s="8"/>
      <c r="GG1436" s="8"/>
      <c r="GH1436" s="8"/>
      <c r="GI1436" s="8"/>
      <c r="GJ1436" s="8"/>
      <c r="GK1436" s="8"/>
      <c r="GL1436" s="8"/>
      <c r="GM1436" s="8"/>
      <c r="GN1436" s="8"/>
      <c r="GO1436" s="8"/>
      <c r="GP1436" s="8"/>
      <c r="GQ1436" s="8"/>
      <c r="GR1436" s="8"/>
      <c r="GS1436" s="8"/>
      <c r="GT1436" s="8"/>
      <c r="GU1436" s="8"/>
      <c r="GV1436" s="8"/>
      <c r="GW1436" s="8"/>
      <c r="GX1436" s="8"/>
      <c r="GY1436" s="8"/>
      <c r="GZ1436" s="8"/>
      <c r="HA1436" s="8"/>
      <c r="HB1436" s="8"/>
      <c r="HC1436" s="8"/>
      <c r="HD1436" s="8"/>
      <c r="HE1436" s="8"/>
      <c r="HF1436" s="8"/>
      <c r="HG1436" s="8"/>
      <c r="HH1436" s="8"/>
      <c r="HI1436" s="8"/>
      <c r="HJ1436" s="8"/>
      <c r="HK1436" s="8"/>
      <c r="HL1436" s="8"/>
      <c r="HM1436" s="8"/>
      <c r="HN1436" s="8"/>
      <c r="HO1436" s="8"/>
      <c r="HP1436" s="8"/>
      <c r="HQ1436" s="8"/>
      <c r="HR1436" s="8"/>
      <c r="HS1436" s="8"/>
      <c r="HT1436" s="8"/>
      <c r="HU1436" s="8"/>
      <c r="HV1436" s="8"/>
      <c r="HW1436" s="8"/>
      <c r="HX1436" s="8"/>
      <c r="HY1436" s="8"/>
      <c r="HZ1436" s="8"/>
      <c r="IA1436" s="8"/>
      <c r="IB1436" s="8"/>
      <c r="IC1436" s="8"/>
      <c r="ID1436" s="8"/>
      <c r="IE1436" s="8"/>
      <c r="IF1436" s="8"/>
    </row>
    <row r="1437" spans="1:240">
      <c r="A1437" s="14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3"/>
      <c r="AB1437" s="23"/>
      <c r="AC1437" s="23"/>
      <c r="AD1437" s="23"/>
      <c r="AE1437" s="23"/>
      <c r="AF1437" s="23"/>
      <c r="AG1437" s="23"/>
      <c r="AH1437" s="23"/>
      <c r="AI1437" s="23"/>
      <c r="AJ1437" s="23"/>
      <c r="AK1437" s="23"/>
      <c r="AL1437" s="23"/>
      <c r="AM1437" s="23"/>
      <c r="AN1437" s="23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8"/>
      <c r="BS1437" s="8"/>
      <c r="BT1437" s="8"/>
      <c r="BU1437" s="8"/>
      <c r="BV1437" s="8"/>
      <c r="BW1437" s="8"/>
      <c r="BX1437" s="8"/>
      <c r="BY1437" s="8"/>
      <c r="BZ1437" s="8"/>
      <c r="CA1437" s="8"/>
      <c r="CB1437" s="8"/>
      <c r="CC1437" s="8"/>
      <c r="CD1437" s="8"/>
      <c r="CE1437" s="8"/>
      <c r="CF1437" s="8"/>
      <c r="CG1437" s="8"/>
      <c r="CH1437" s="8"/>
      <c r="CI1437" s="8"/>
      <c r="CJ1437" s="8"/>
      <c r="CK1437" s="8"/>
      <c r="CL1437" s="8"/>
      <c r="CM1437" s="8"/>
      <c r="CN1437" s="8"/>
      <c r="CO1437" s="8"/>
      <c r="CP1437" s="8"/>
      <c r="CQ1437" s="8"/>
      <c r="CR1437" s="8"/>
      <c r="CS1437" s="8"/>
      <c r="CT1437" s="8"/>
      <c r="CU1437" s="8"/>
      <c r="CV1437" s="8"/>
      <c r="CW1437" s="8"/>
      <c r="CX1437" s="8"/>
      <c r="CY1437" s="8"/>
      <c r="CZ1437" s="8"/>
      <c r="DA1437" s="8"/>
      <c r="DB1437" s="8"/>
      <c r="DC1437" s="8"/>
      <c r="DD1437" s="8"/>
      <c r="DE1437" s="8"/>
      <c r="DF1437" s="8"/>
      <c r="DG1437" s="8"/>
      <c r="DH1437" s="8"/>
      <c r="DI1437" s="8"/>
      <c r="DJ1437" s="8"/>
      <c r="DK1437" s="8"/>
      <c r="DL1437" s="8"/>
      <c r="DM1437" s="8"/>
      <c r="DN1437" s="8"/>
      <c r="DO1437" s="8"/>
      <c r="DP1437" s="8"/>
      <c r="DQ1437" s="8"/>
      <c r="DR1437" s="8"/>
      <c r="DS1437" s="8"/>
      <c r="DT1437" s="8"/>
      <c r="DU1437" s="8"/>
      <c r="DV1437" s="8"/>
      <c r="DW1437" s="8"/>
      <c r="DX1437" s="8"/>
      <c r="DY1437" s="8"/>
      <c r="DZ1437" s="8"/>
      <c r="EA1437" s="8"/>
      <c r="EB1437" s="8"/>
      <c r="EC1437" s="8"/>
      <c r="ED1437" s="8"/>
      <c r="EE1437" s="8"/>
      <c r="EF1437" s="8"/>
      <c r="EG1437" s="8"/>
      <c r="EH1437" s="8"/>
      <c r="EI1437" s="8"/>
      <c r="EJ1437" s="8"/>
      <c r="EK1437" s="8"/>
      <c r="EL1437" s="8"/>
      <c r="EM1437" s="8"/>
      <c r="EN1437" s="8"/>
      <c r="EO1437" s="8"/>
      <c r="EP1437" s="8"/>
      <c r="EQ1437" s="8"/>
      <c r="ER1437" s="8"/>
      <c r="ES1437" s="8"/>
      <c r="ET1437" s="8"/>
      <c r="EU1437" s="8"/>
      <c r="EV1437" s="8"/>
      <c r="EW1437" s="8"/>
      <c r="EX1437" s="8"/>
      <c r="EY1437" s="8"/>
      <c r="EZ1437" s="8"/>
      <c r="FA1437" s="8"/>
      <c r="FB1437" s="8"/>
      <c r="FC1437" s="8"/>
      <c r="FD1437" s="8"/>
      <c r="FE1437" s="8"/>
      <c r="FF1437" s="8"/>
      <c r="FG1437" s="8"/>
      <c r="FH1437" s="8"/>
      <c r="FI1437" s="8"/>
      <c r="FJ1437" s="8"/>
      <c r="FK1437" s="8"/>
      <c r="FL1437" s="8"/>
      <c r="FM1437" s="8"/>
      <c r="FN1437" s="8"/>
      <c r="FO1437" s="8"/>
      <c r="FP1437" s="8"/>
      <c r="FQ1437" s="8"/>
      <c r="FR1437" s="8"/>
      <c r="FS1437" s="8"/>
      <c r="FT1437" s="8"/>
      <c r="FU1437" s="8"/>
      <c r="FV1437" s="8"/>
      <c r="FW1437" s="8"/>
      <c r="FX1437" s="8"/>
      <c r="FY1437" s="8"/>
      <c r="FZ1437" s="8"/>
      <c r="GA1437" s="8"/>
      <c r="GB1437" s="8"/>
      <c r="GC1437" s="8"/>
      <c r="GD1437" s="8"/>
      <c r="GE1437" s="8"/>
      <c r="GF1437" s="8"/>
      <c r="GG1437" s="8"/>
      <c r="GH1437" s="8"/>
      <c r="GI1437" s="8"/>
      <c r="GJ1437" s="8"/>
      <c r="GK1437" s="8"/>
      <c r="GL1437" s="8"/>
      <c r="GM1437" s="8"/>
      <c r="GN1437" s="8"/>
      <c r="GO1437" s="8"/>
      <c r="GP1437" s="8"/>
      <c r="GQ1437" s="8"/>
      <c r="GR1437" s="8"/>
      <c r="GS1437" s="8"/>
      <c r="GT1437" s="8"/>
      <c r="GU1437" s="8"/>
      <c r="GV1437" s="8"/>
      <c r="GW1437" s="8"/>
      <c r="GX1437" s="8"/>
      <c r="GY1437" s="8"/>
      <c r="GZ1437" s="8"/>
      <c r="HA1437" s="8"/>
      <c r="HB1437" s="8"/>
      <c r="HC1437" s="8"/>
      <c r="HD1437" s="8"/>
      <c r="HE1437" s="8"/>
      <c r="HF1437" s="8"/>
      <c r="HG1437" s="8"/>
      <c r="HH1437" s="8"/>
      <c r="HI1437" s="8"/>
      <c r="HJ1437" s="8"/>
      <c r="HK1437" s="8"/>
      <c r="HL1437" s="8"/>
      <c r="HM1437" s="8"/>
      <c r="HN1437" s="8"/>
      <c r="HO1437" s="8"/>
      <c r="HP1437" s="8"/>
      <c r="HQ1437" s="8"/>
      <c r="HR1437" s="8"/>
      <c r="HS1437" s="8"/>
      <c r="HT1437" s="8"/>
      <c r="HU1437" s="8"/>
      <c r="HV1437" s="8"/>
      <c r="HW1437" s="8"/>
      <c r="HX1437" s="8"/>
      <c r="HY1437" s="8"/>
      <c r="HZ1437" s="8"/>
      <c r="IA1437" s="8"/>
      <c r="IB1437" s="8"/>
      <c r="IC1437" s="8"/>
      <c r="ID1437" s="8"/>
      <c r="IE1437" s="8"/>
      <c r="IF1437" s="8"/>
    </row>
    <row r="1438" spans="1:240">
      <c r="A1438" s="14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3"/>
      <c r="AB1438" s="23"/>
      <c r="AC1438" s="23"/>
      <c r="AD1438" s="23"/>
      <c r="AE1438" s="23"/>
      <c r="AF1438" s="23"/>
      <c r="AG1438" s="23"/>
      <c r="AH1438" s="23"/>
      <c r="AI1438" s="23"/>
      <c r="AJ1438" s="23"/>
      <c r="AK1438" s="23"/>
      <c r="AL1438" s="23"/>
      <c r="AM1438" s="23"/>
      <c r="AN1438" s="23"/>
      <c r="AO1438" s="8"/>
      <c r="AP1438" s="8"/>
      <c r="AQ1438" s="8"/>
      <c r="AR1438" s="8"/>
      <c r="AS1438" s="8"/>
      <c r="AT1438" s="8"/>
      <c r="AU1438" s="8"/>
      <c r="AV1438" s="8"/>
      <c r="AW1438" s="8"/>
      <c r="AX1438" s="8"/>
      <c r="AY1438" s="8"/>
      <c r="AZ1438" s="8"/>
      <c r="BA1438" s="8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8"/>
      <c r="BS1438" s="8"/>
      <c r="BT1438" s="8"/>
      <c r="BU1438" s="8"/>
      <c r="BV1438" s="8"/>
      <c r="BW1438" s="8"/>
      <c r="BX1438" s="8"/>
      <c r="BY1438" s="8"/>
      <c r="BZ1438" s="8"/>
      <c r="CA1438" s="8"/>
      <c r="CB1438" s="8"/>
      <c r="CC1438" s="8"/>
      <c r="CD1438" s="8"/>
      <c r="CE1438" s="8"/>
      <c r="CF1438" s="8"/>
      <c r="CG1438" s="8"/>
      <c r="CH1438" s="8"/>
      <c r="CI1438" s="8"/>
      <c r="CJ1438" s="8"/>
      <c r="CK1438" s="8"/>
      <c r="CL1438" s="8"/>
      <c r="CM1438" s="8"/>
      <c r="CN1438" s="8"/>
      <c r="CO1438" s="8"/>
      <c r="CP1438" s="8"/>
      <c r="CQ1438" s="8"/>
      <c r="CR1438" s="8"/>
      <c r="CS1438" s="8"/>
      <c r="CT1438" s="8"/>
      <c r="CU1438" s="8"/>
      <c r="CV1438" s="8"/>
      <c r="CW1438" s="8"/>
      <c r="CX1438" s="8"/>
      <c r="CY1438" s="8"/>
      <c r="CZ1438" s="8"/>
      <c r="DA1438" s="8"/>
      <c r="DB1438" s="8"/>
      <c r="DC1438" s="8"/>
      <c r="DD1438" s="8"/>
      <c r="DE1438" s="8"/>
      <c r="DF1438" s="8"/>
      <c r="DG1438" s="8"/>
      <c r="DH1438" s="8"/>
      <c r="DI1438" s="8"/>
      <c r="DJ1438" s="8"/>
      <c r="DK1438" s="8"/>
      <c r="DL1438" s="8"/>
      <c r="DM1438" s="8"/>
      <c r="DN1438" s="8"/>
      <c r="DO1438" s="8"/>
      <c r="DP1438" s="8"/>
      <c r="DQ1438" s="8"/>
      <c r="DR1438" s="8"/>
      <c r="DS1438" s="8"/>
      <c r="DT1438" s="8"/>
      <c r="DU1438" s="8"/>
      <c r="DV1438" s="8"/>
      <c r="DW1438" s="8"/>
      <c r="DX1438" s="8"/>
      <c r="DY1438" s="8"/>
      <c r="DZ1438" s="8"/>
      <c r="EA1438" s="8"/>
      <c r="EB1438" s="8"/>
      <c r="EC1438" s="8"/>
      <c r="ED1438" s="8"/>
      <c r="EE1438" s="8"/>
      <c r="EF1438" s="8"/>
      <c r="EG1438" s="8"/>
      <c r="EH1438" s="8"/>
      <c r="EI1438" s="8"/>
      <c r="EJ1438" s="8"/>
      <c r="EK1438" s="8"/>
      <c r="EL1438" s="8"/>
      <c r="EM1438" s="8"/>
      <c r="EN1438" s="8"/>
      <c r="EO1438" s="8"/>
      <c r="EP1438" s="8"/>
      <c r="EQ1438" s="8"/>
      <c r="ER1438" s="8"/>
      <c r="ES1438" s="8"/>
      <c r="ET1438" s="8"/>
      <c r="EU1438" s="8"/>
      <c r="EV1438" s="8"/>
      <c r="EW1438" s="8"/>
      <c r="EX1438" s="8"/>
      <c r="EY1438" s="8"/>
      <c r="EZ1438" s="8"/>
      <c r="FA1438" s="8"/>
      <c r="FB1438" s="8"/>
      <c r="FC1438" s="8"/>
      <c r="FD1438" s="8"/>
      <c r="FE1438" s="8"/>
      <c r="FF1438" s="8"/>
      <c r="FG1438" s="8"/>
      <c r="FH1438" s="8"/>
      <c r="FI1438" s="8"/>
      <c r="FJ1438" s="8"/>
      <c r="FK1438" s="8"/>
      <c r="FL1438" s="8"/>
      <c r="FM1438" s="8"/>
      <c r="FN1438" s="8"/>
      <c r="FO1438" s="8"/>
      <c r="FP1438" s="8"/>
      <c r="FQ1438" s="8"/>
      <c r="FR1438" s="8"/>
      <c r="FS1438" s="8"/>
      <c r="FT1438" s="8"/>
      <c r="FU1438" s="8"/>
      <c r="FV1438" s="8"/>
      <c r="FW1438" s="8"/>
      <c r="FX1438" s="8"/>
      <c r="FY1438" s="8"/>
      <c r="FZ1438" s="8"/>
      <c r="GA1438" s="8"/>
      <c r="GB1438" s="8"/>
      <c r="GC1438" s="8"/>
      <c r="GD1438" s="8"/>
      <c r="GE1438" s="8"/>
      <c r="GF1438" s="8"/>
      <c r="GG1438" s="8"/>
      <c r="GH1438" s="8"/>
      <c r="GI1438" s="8"/>
      <c r="GJ1438" s="8"/>
      <c r="GK1438" s="8"/>
      <c r="GL1438" s="8"/>
      <c r="GM1438" s="8"/>
      <c r="GN1438" s="8"/>
      <c r="GO1438" s="8"/>
      <c r="GP1438" s="8"/>
      <c r="GQ1438" s="8"/>
      <c r="GR1438" s="8"/>
      <c r="GS1438" s="8"/>
      <c r="GT1438" s="8"/>
      <c r="GU1438" s="8"/>
      <c r="GV1438" s="8"/>
      <c r="GW1438" s="8"/>
      <c r="GX1438" s="8"/>
      <c r="GY1438" s="8"/>
      <c r="GZ1438" s="8"/>
      <c r="HA1438" s="8"/>
      <c r="HB1438" s="8"/>
      <c r="HC1438" s="8"/>
      <c r="HD1438" s="8"/>
      <c r="HE1438" s="8"/>
      <c r="HF1438" s="8"/>
      <c r="HG1438" s="8"/>
      <c r="HH1438" s="8"/>
      <c r="HI1438" s="8"/>
      <c r="HJ1438" s="8"/>
      <c r="HK1438" s="8"/>
      <c r="HL1438" s="8"/>
      <c r="HM1438" s="8"/>
      <c r="HN1438" s="8"/>
      <c r="HO1438" s="8"/>
      <c r="HP1438" s="8"/>
      <c r="HQ1438" s="8"/>
      <c r="HR1438" s="8"/>
      <c r="HS1438" s="8"/>
      <c r="HT1438" s="8"/>
      <c r="HU1438" s="8"/>
      <c r="HV1438" s="8"/>
      <c r="HW1438" s="8"/>
      <c r="HX1438" s="8"/>
      <c r="HY1438" s="8"/>
      <c r="HZ1438" s="8"/>
      <c r="IA1438" s="8"/>
      <c r="IB1438" s="8"/>
      <c r="IC1438" s="8"/>
      <c r="ID1438" s="8"/>
      <c r="IE1438" s="8"/>
      <c r="IF1438" s="8"/>
    </row>
    <row r="1439" spans="1:240">
      <c r="A1439" s="14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3"/>
      <c r="AE1439" s="23"/>
      <c r="AF1439" s="23"/>
      <c r="AG1439" s="23"/>
      <c r="AH1439" s="23"/>
      <c r="AI1439" s="23"/>
      <c r="AJ1439" s="23"/>
      <c r="AK1439" s="23"/>
      <c r="AL1439" s="23"/>
      <c r="AM1439" s="23"/>
      <c r="AN1439" s="23"/>
      <c r="AO1439" s="8"/>
      <c r="AP1439" s="8"/>
      <c r="AQ1439" s="8"/>
      <c r="AR1439" s="8"/>
      <c r="AS1439" s="8"/>
      <c r="AT1439" s="8"/>
      <c r="AU1439" s="8"/>
      <c r="AV1439" s="8"/>
      <c r="AW1439" s="8"/>
      <c r="AX1439" s="8"/>
      <c r="AY1439" s="8"/>
      <c r="AZ1439" s="8"/>
      <c r="BA1439" s="8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8"/>
      <c r="BS1439" s="8"/>
      <c r="BT1439" s="8"/>
      <c r="BU1439" s="8"/>
      <c r="BV1439" s="8"/>
      <c r="BW1439" s="8"/>
      <c r="BX1439" s="8"/>
      <c r="BY1439" s="8"/>
      <c r="BZ1439" s="8"/>
      <c r="CA1439" s="8"/>
      <c r="CB1439" s="8"/>
      <c r="CC1439" s="8"/>
      <c r="CD1439" s="8"/>
      <c r="CE1439" s="8"/>
      <c r="CF1439" s="8"/>
      <c r="CG1439" s="8"/>
      <c r="CH1439" s="8"/>
      <c r="CI1439" s="8"/>
      <c r="CJ1439" s="8"/>
      <c r="CK1439" s="8"/>
      <c r="CL1439" s="8"/>
      <c r="CM1439" s="8"/>
      <c r="CN1439" s="8"/>
      <c r="CO1439" s="8"/>
      <c r="CP1439" s="8"/>
      <c r="CQ1439" s="8"/>
      <c r="CR1439" s="8"/>
      <c r="CS1439" s="8"/>
      <c r="CT1439" s="8"/>
      <c r="CU1439" s="8"/>
      <c r="CV1439" s="8"/>
      <c r="CW1439" s="8"/>
      <c r="CX1439" s="8"/>
      <c r="CY1439" s="8"/>
      <c r="CZ1439" s="8"/>
      <c r="DA1439" s="8"/>
      <c r="DB1439" s="8"/>
      <c r="DC1439" s="8"/>
      <c r="DD1439" s="8"/>
      <c r="DE1439" s="8"/>
      <c r="DF1439" s="8"/>
      <c r="DG1439" s="8"/>
      <c r="DH1439" s="8"/>
      <c r="DI1439" s="8"/>
      <c r="DJ1439" s="8"/>
      <c r="DK1439" s="8"/>
      <c r="DL1439" s="8"/>
      <c r="DM1439" s="8"/>
      <c r="DN1439" s="8"/>
      <c r="DO1439" s="8"/>
      <c r="DP1439" s="8"/>
      <c r="DQ1439" s="8"/>
      <c r="DR1439" s="8"/>
      <c r="DS1439" s="8"/>
      <c r="DT1439" s="8"/>
      <c r="DU1439" s="8"/>
      <c r="DV1439" s="8"/>
      <c r="DW1439" s="8"/>
      <c r="DX1439" s="8"/>
      <c r="DY1439" s="8"/>
      <c r="DZ1439" s="8"/>
      <c r="EA1439" s="8"/>
      <c r="EB1439" s="8"/>
      <c r="EC1439" s="8"/>
      <c r="ED1439" s="8"/>
      <c r="EE1439" s="8"/>
      <c r="EF1439" s="8"/>
      <c r="EG1439" s="8"/>
      <c r="EH1439" s="8"/>
      <c r="EI1439" s="8"/>
      <c r="EJ1439" s="8"/>
      <c r="EK1439" s="8"/>
      <c r="EL1439" s="8"/>
      <c r="EM1439" s="8"/>
      <c r="EN1439" s="8"/>
      <c r="EO1439" s="8"/>
      <c r="EP1439" s="8"/>
      <c r="EQ1439" s="8"/>
      <c r="ER1439" s="8"/>
      <c r="ES1439" s="8"/>
      <c r="ET1439" s="8"/>
      <c r="EU1439" s="8"/>
      <c r="EV1439" s="8"/>
      <c r="EW1439" s="8"/>
      <c r="EX1439" s="8"/>
      <c r="EY1439" s="8"/>
      <c r="EZ1439" s="8"/>
      <c r="FA1439" s="8"/>
      <c r="FB1439" s="8"/>
      <c r="FC1439" s="8"/>
      <c r="FD1439" s="8"/>
      <c r="FE1439" s="8"/>
      <c r="FF1439" s="8"/>
      <c r="FG1439" s="8"/>
      <c r="FH1439" s="8"/>
      <c r="FI1439" s="8"/>
      <c r="FJ1439" s="8"/>
      <c r="FK1439" s="8"/>
      <c r="FL1439" s="8"/>
      <c r="FM1439" s="8"/>
      <c r="FN1439" s="8"/>
      <c r="FO1439" s="8"/>
      <c r="FP1439" s="8"/>
      <c r="FQ1439" s="8"/>
      <c r="FR1439" s="8"/>
      <c r="FS1439" s="8"/>
      <c r="FT1439" s="8"/>
      <c r="FU1439" s="8"/>
      <c r="FV1439" s="8"/>
      <c r="FW1439" s="8"/>
      <c r="FX1439" s="8"/>
      <c r="FY1439" s="8"/>
      <c r="FZ1439" s="8"/>
      <c r="GA1439" s="8"/>
      <c r="GB1439" s="8"/>
      <c r="GC1439" s="8"/>
      <c r="GD1439" s="8"/>
      <c r="GE1439" s="8"/>
      <c r="GF1439" s="8"/>
      <c r="GG1439" s="8"/>
      <c r="GH1439" s="8"/>
      <c r="GI1439" s="8"/>
      <c r="GJ1439" s="8"/>
      <c r="GK1439" s="8"/>
      <c r="GL1439" s="8"/>
      <c r="GM1439" s="8"/>
      <c r="GN1439" s="8"/>
      <c r="GO1439" s="8"/>
      <c r="GP1439" s="8"/>
      <c r="GQ1439" s="8"/>
      <c r="GR1439" s="8"/>
      <c r="GS1439" s="8"/>
      <c r="GT1439" s="8"/>
      <c r="GU1439" s="8"/>
      <c r="GV1439" s="8"/>
      <c r="GW1439" s="8"/>
      <c r="GX1439" s="8"/>
      <c r="GY1439" s="8"/>
      <c r="GZ1439" s="8"/>
      <c r="HA1439" s="8"/>
      <c r="HB1439" s="8"/>
      <c r="HC1439" s="8"/>
      <c r="HD1439" s="8"/>
      <c r="HE1439" s="8"/>
      <c r="HF1439" s="8"/>
      <c r="HG1439" s="8"/>
      <c r="HH1439" s="8"/>
      <c r="HI1439" s="8"/>
      <c r="HJ1439" s="8"/>
      <c r="HK1439" s="8"/>
      <c r="HL1439" s="8"/>
      <c r="HM1439" s="8"/>
      <c r="HN1439" s="8"/>
      <c r="HO1439" s="8"/>
      <c r="HP1439" s="8"/>
      <c r="HQ1439" s="8"/>
      <c r="HR1439" s="8"/>
      <c r="HS1439" s="8"/>
      <c r="HT1439" s="8"/>
      <c r="HU1439" s="8"/>
      <c r="HV1439" s="8"/>
      <c r="HW1439" s="8"/>
      <c r="HX1439" s="8"/>
      <c r="HY1439" s="8"/>
      <c r="HZ1439" s="8"/>
      <c r="IA1439" s="8"/>
      <c r="IB1439" s="8"/>
      <c r="IC1439" s="8"/>
      <c r="ID1439" s="8"/>
      <c r="IE1439" s="8"/>
      <c r="IF1439" s="8"/>
    </row>
    <row r="1440" spans="1:240">
      <c r="A1440" s="14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3"/>
      <c r="AD1440" s="23"/>
      <c r="AE1440" s="23"/>
      <c r="AF1440" s="23"/>
      <c r="AG1440" s="23"/>
      <c r="AH1440" s="23"/>
      <c r="AI1440" s="23"/>
      <c r="AJ1440" s="23"/>
      <c r="AK1440" s="23"/>
      <c r="AL1440" s="23"/>
      <c r="AM1440" s="23"/>
      <c r="AN1440" s="23"/>
      <c r="AO1440" s="8"/>
      <c r="AP1440" s="8"/>
      <c r="AQ1440" s="8"/>
      <c r="AR1440" s="8"/>
      <c r="AS1440" s="8"/>
      <c r="AT1440" s="8"/>
      <c r="AU1440" s="8"/>
      <c r="AV1440" s="8"/>
      <c r="AW1440" s="8"/>
      <c r="AX1440" s="8"/>
      <c r="AY1440" s="8"/>
      <c r="AZ1440" s="8"/>
      <c r="BA1440" s="8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8"/>
      <c r="BS1440" s="8"/>
      <c r="BT1440" s="8"/>
      <c r="BU1440" s="8"/>
      <c r="BV1440" s="8"/>
      <c r="BW1440" s="8"/>
      <c r="BX1440" s="8"/>
      <c r="BY1440" s="8"/>
      <c r="BZ1440" s="8"/>
      <c r="CA1440" s="8"/>
      <c r="CB1440" s="8"/>
      <c r="CC1440" s="8"/>
      <c r="CD1440" s="8"/>
      <c r="CE1440" s="8"/>
      <c r="CF1440" s="8"/>
      <c r="CG1440" s="8"/>
      <c r="CH1440" s="8"/>
      <c r="CI1440" s="8"/>
      <c r="CJ1440" s="8"/>
      <c r="CK1440" s="8"/>
      <c r="CL1440" s="8"/>
      <c r="CM1440" s="8"/>
      <c r="CN1440" s="8"/>
      <c r="CO1440" s="8"/>
      <c r="CP1440" s="8"/>
      <c r="CQ1440" s="8"/>
      <c r="CR1440" s="8"/>
      <c r="CS1440" s="8"/>
      <c r="CT1440" s="8"/>
      <c r="CU1440" s="8"/>
      <c r="CV1440" s="8"/>
      <c r="CW1440" s="8"/>
      <c r="CX1440" s="8"/>
      <c r="CY1440" s="8"/>
      <c r="CZ1440" s="8"/>
      <c r="DA1440" s="8"/>
      <c r="DB1440" s="8"/>
      <c r="DC1440" s="8"/>
      <c r="DD1440" s="8"/>
      <c r="DE1440" s="8"/>
      <c r="DF1440" s="8"/>
      <c r="DG1440" s="8"/>
      <c r="DH1440" s="8"/>
      <c r="DI1440" s="8"/>
      <c r="DJ1440" s="8"/>
      <c r="DK1440" s="8"/>
      <c r="DL1440" s="8"/>
      <c r="DM1440" s="8"/>
      <c r="DN1440" s="8"/>
      <c r="DO1440" s="8"/>
      <c r="DP1440" s="8"/>
      <c r="DQ1440" s="8"/>
      <c r="DR1440" s="8"/>
      <c r="DS1440" s="8"/>
      <c r="DT1440" s="8"/>
      <c r="DU1440" s="8"/>
      <c r="DV1440" s="8"/>
      <c r="DW1440" s="8"/>
      <c r="DX1440" s="8"/>
      <c r="DY1440" s="8"/>
      <c r="DZ1440" s="8"/>
      <c r="EA1440" s="8"/>
      <c r="EB1440" s="8"/>
      <c r="EC1440" s="8"/>
      <c r="ED1440" s="8"/>
      <c r="EE1440" s="8"/>
      <c r="EF1440" s="8"/>
      <c r="EG1440" s="8"/>
      <c r="EH1440" s="8"/>
      <c r="EI1440" s="8"/>
      <c r="EJ1440" s="8"/>
      <c r="EK1440" s="8"/>
      <c r="EL1440" s="8"/>
      <c r="EM1440" s="8"/>
      <c r="EN1440" s="8"/>
      <c r="EO1440" s="8"/>
      <c r="EP1440" s="8"/>
      <c r="EQ1440" s="8"/>
      <c r="ER1440" s="8"/>
      <c r="ES1440" s="8"/>
      <c r="ET1440" s="8"/>
      <c r="EU1440" s="8"/>
      <c r="EV1440" s="8"/>
      <c r="EW1440" s="8"/>
      <c r="EX1440" s="8"/>
      <c r="EY1440" s="8"/>
      <c r="EZ1440" s="8"/>
      <c r="FA1440" s="8"/>
      <c r="FB1440" s="8"/>
      <c r="FC1440" s="8"/>
      <c r="FD1440" s="8"/>
      <c r="FE1440" s="8"/>
      <c r="FF1440" s="8"/>
      <c r="FG1440" s="8"/>
      <c r="FH1440" s="8"/>
      <c r="FI1440" s="8"/>
      <c r="FJ1440" s="8"/>
      <c r="FK1440" s="8"/>
      <c r="FL1440" s="8"/>
      <c r="FM1440" s="8"/>
      <c r="FN1440" s="8"/>
      <c r="FO1440" s="8"/>
      <c r="FP1440" s="8"/>
      <c r="FQ1440" s="8"/>
      <c r="FR1440" s="8"/>
      <c r="FS1440" s="8"/>
      <c r="FT1440" s="8"/>
      <c r="FU1440" s="8"/>
      <c r="FV1440" s="8"/>
      <c r="FW1440" s="8"/>
      <c r="FX1440" s="8"/>
      <c r="FY1440" s="8"/>
      <c r="FZ1440" s="8"/>
      <c r="GA1440" s="8"/>
      <c r="GB1440" s="8"/>
      <c r="GC1440" s="8"/>
      <c r="GD1440" s="8"/>
      <c r="GE1440" s="8"/>
      <c r="GF1440" s="8"/>
      <c r="GG1440" s="8"/>
      <c r="GH1440" s="8"/>
      <c r="GI1440" s="8"/>
      <c r="GJ1440" s="8"/>
      <c r="GK1440" s="8"/>
      <c r="GL1440" s="8"/>
      <c r="GM1440" s="8"/>
      <c r="GN1440" s="8"/>
      <c r="GO1440" s="8"/>
      <c r="GP1440" s="8"/>
      <c r="GQ1440" s="8"/>
      <c r="GR1440" s="8"/>
      <c r="GS1440" s="8"/>
      <c r="GT1440" s="8"/>
      <c r="GU1440" s="8"/>
      <c r="GV1440" s="8"/>
      <c r="GW1440" s="8"/>
      <c r="GX1440" s="8"/>
      <c r="GY1440" s="8"/>
      <c r="GZ1440" s="8"/>
      <c r="HA1440" s="8"/>
      <c r="HB1440" s="8"/>
      <c r="HC1440" s="8"/>
      <c r="HD1440" s="8"/>
      <c r="HE1440" s="8"/>
      <c r="HF1440" s="8"/>
      <c r="HG1440" s="8"/>
      <c r="HH1440" s="8"/>
      <c r="HI1440" s="8"/>
      <c r="HJ1440" s="8"/>
      <c r="HK1440" s="8"/>
      <c r="HL1440" s="8"/>
      <c r="HM1440" s="8"/>
      <c r="HN1440" s="8"/>
      <c r="HO1440" s="8"/>
      <c r="HP1440" s="8"/>
      <c r="HQ1440" s="8"/>
      <c r="HR1440" s="8"/>
      <c r="HS1440" s="8"/>
      <c r="HT1440" s="8"/>
      <c r="HU1440" s="8"/>
      <c r="HV1440" s="8"/>
      <c r="HW1440" s="8"/>
      <c r="HX1440" s="8"/>
      <c r="HY1440" s="8"/>
      <c r="HZ1440" s="8"/>
      <c r="IA1440" s="8"/>
      <c r="IB1440" s="8"/>
      <c r="IC1440" s="8"/>
      <c r="ID1440" s="8"/>
      <c r="IE1440" s="8"/>
      <c r="IF1440" s="8"/>
    </row>
    <row r="1441" spans="1:240">
      <c r="A1441" s="14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3"/>
      <c r="AB1441" s="23"/>
      <c r="AC1441" s="23"/>
      <c r="AD1441" s="23"/>
      <c r="AE1441" s="23"/>
      <c r="AF1441" s="23"/>
      <c r="AG1441" s="23"/>
      <c r="AH1441" s="23"/>
      <c r="AI1441" s="23"/>
      <c r="AJ1441" s="23"/>
      <c r="AK1441" s="23"/>
      <c r="AL1441" s="23"/>
      <c r="AM1441" s="23"/>
      <c r="AN1441" s="23"/>
      <c r="AO1441" s="8"/>
      <c r="AP1441" s="8"/>
      <c r="AQ1441" s="8"/>
      <c r="AR1441" s="8"/>
      <c r="AS1441" s="8"/>
      <c r="AT1441" s="8"/>
      <c r="AU1441" s="8"/>
      <c r="AV1441" s="8"/>
      <c r="AW1441" s="8"/>
      <c r="AX1441" s="8"/>
      <c r="AY1441" s="8"/>
      <c r="AZ1441" s="8"/>
      <c r="BA1441" s="8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8"/>
      <c r="BS1441" s="8"/>
      <c r="BT1441" s="8"/>
      <c r="BU1441" s="8"/>
      <c r="BV1441" s="8"/>
      <c r="BW1441" s="8"/>
      <c r="BX1441" s="8"/>
      <c r="BY1441" s="8"/>
      <c r="BZ1441" s="8"/>
      <c r="CA1441" s="8"/>
      <c r="CB1441" s="8"/>
      <c r="CC1441" s="8"/>
      <c r="CD1441" s="8"/>
      <c r="CE1441" s="8"/>
      <c r="CF1441" s="8"/>
      <c r="CG1441" s="8"/>
      <c r="CH1441" s="8"/>
      <c r="CI1441" s="8"/>
      <c r="CJ1441" s="8"/>
      <c r="CK1441" s="8"/>
      <c r="CL1441" s="8"/>
      <c r="CM1441" s="8"/>
      <c r="CN1441" s="8"/>
      <c r="CO1441" s="8"/>
      <c r="CP1441" s="8"/>
      <c r="CQ1441" s="8"/>
      <c r="CR1441" s="8"/>
      <c r="CS1441" s="8"/>
      <c r="CT1441" s="8"/>
      <c r="CU1441" s="8"/>
      <c r="CV1441" s="8"/>
      <c r="CW1441" s="8"/>
      <c r="CX1441" s="8"/>
      <c r="CY1441" s="8"/>
      <c r="CZ1441" s="8"/>
      <c r="DA1441" s="8"/>
      <c r="DB1441" s="8"/>
      <c r="DC1441" s="8"/>
      <c r="DD1441" s="8"/>
      <c r="DE1441" s="8"/>
      <c r="DF1441" s="8"/>
      <c r="DG1441" s="8"/>
      <c r="DH1441" s="8"/>
      <c r="DI1441" s="8"/>
      <c r="DJ1441" s="8"/>
      <c r="DK1441" s="8"/>
      <c r="DL1441" s="8"/>
      <c r="DM1441" s="8"/>
      <c r="DN1441" s="8"/>
      <c r="DO1441" s="8"/>
      <c r="DP1441" s="8"/>
      <c r="DQ1441" s="8"/>
      <c r="DR1441" s="8"/>
      <c r="DS1441" s="8"/>
      <c r="DT1441" s="8"/>
      <c r="DU1441" s="8"/>
      <c r="DV1441" s="8"/>
      <c r="DW1441" s="8"/>
      <c r="DX1441" s="8"/>
      <c r="DY1441" s="8"/>
      <c r="DZ1441" s="8"/>
      <c r="EA1441" s="8"/>
      <c r="EB1441" s="8"/>
      <c r="EC1441" s="8"/>
      <c r="ED1441" s="8"/>
      <c r="EE1441" s="8"/>
      <c r="EF1441" s="8"/>
      <c r="EG1441" s="8"/>
      <c r="EH1441" s="8"/>
      <c r="EI1441" s="8"/>
      <c r="EJ1441" s="8"/>
      <c r="EK1441" s="8"/>
      <c r="EL1441" s="8"/>
      <c r="EM1441" s="8"/>
      <c r="EN1441" s="8"/>
      <c r="EO1441" s="8"/>
      <c r="EP1441" s="8"/>
      <c r="EQ1441" s="8"/>
      <c r="ER1441" s="8"/>
      <c r="ES1441" s="8"/>
      <c r="ET1441" s="8"/>
      <c r="EU1441" s="8"/>
      <c r="EV1441" s="8"/>
      <c r="EW1441" s="8"/>
      <c r="EX1441" s="8"/>
      <c r="EY1441" s="8"/>
      <c r="EZ1441" s="8"/>
      <c r="FA1441" s="8"/>
      <c r="FB1441" s="8"/>
      <c r="FC1441" s="8"/>
      <c r="FD1441" s="8"/>
      <c r="FE1441" s="8"/>
      <c r="FF1441" s="8"/>
      <c r="FG1441" s="8"/>
      <c r="FH1441" s="8"/>
      <c r="FI1441" s="8"/>
      <c r="FJ1441" s="8"/>
      <c r="FK1441" s="8"/>
      <c r="FL1441" s="8"/>
      <c r="FM1441" s="8"/>
      <c r="FN1441" s="8"/>
      <c r="FO1441" s="8"/>
      <c r="FP1441" s="8"/>
      <c r="FQ1441" s="8"/>
      <c r="FR1441" s="8"/>
      <c r="FS1441" s="8"/>
      <c r="FT1441" s="8"/>
      <c r="FU1441" s="8"/>
      <c r="FV1441" s="8"/>
      <c r="FW1441" s="8"/>
      <c r="FX1441" s="8"/>
      <c r="FY1441" s="8"/>
      <c r="FZ1441" s="8"/>
      <c r="GA1441" s="8"/>
      <c r="GB1441" s="8"/>
      <c r="GC1441" s="8"/>
      <c r="GD1441" s="8"/>
      <c r="GE1441" s="8"/>
      <c r="GF1441" s="8"/>
      <c r="GG1441" s="8"/>
      <c r="GH1441" s="8"/>
      <c r="GI1441" s="8"/>
      <c r="GJ1441" s="8"/>
      <c r="GK1441" s="8"/>
      <c r="GL1441" s="8"/>
      <c r="GM1441" s="8"/>
      <c r="GN1441" s="8"/>
      <c r="GO1441" s="8"/>
      <c r="GP1441" s="8"/>
      <c r="GQ1441" s="8"/>
      <c r="GR1441" s="8"/>
      <c r="GS1441" s="8"/>
      <c r="GT1441" s="8"/>
      <c r="GU1441" s="8"/>
      <c r="GV1441" s="8"/>
      <c r="GW1441" s="8"/>
      <c r="GX1441" s="8"/>
      <c r="GY1441" s="8"/>
      <c r="GZ1441" s="8"/>
      <c r="HA1441" s="8"/>
      <c r="HB1441" s="8"/>
      <c r="HC1441" s="8"/>
      <c r="HD1441" s="8"/>
      <c r="HE1441" s="8"/>
      <c r="HF1441" s="8"/>
      <c r="HG1441" s="8"/>
      <c r="HH1441" s="8"/>
      <c r="HI1441" s="8"/>
      <c r="HJ1441" s="8"/>
      <c r="HK1441" s="8"/>
      <c r="HL1441" s="8"/>
      <c r="HM1441" s="8"/>
      <c r="HN1441" s="8"/>
      <c r="HO1441" s="8"/>
      <c r="HP1441" s="8"/>
      <c r="HQ1441" s="8"/>
      <c r="HR1441" s="8"/>
      <c r="HS1441" s="8"/>
      <c r="HT1441" s="8"/>
      <c r="HU1441" s="8"/>
      <c r="HV1441" s="8"/>
      <c r="HW1441" s="8"/>
      <c r="HX1441" s="8"/>
      <c r="HY1441" s="8"/>
      <c r="HZ1441" s="8"/>
      <c r="IA1441" s="8"/>
      <c r="IB1441" s="8"/>
      <c r="IC1441" s="8"/>
      <c r="ID1441" s="8"/>
      <c r="IE1441" s="8"/>
      <c r="IF1441" s="8"/>
    </row>
    <row r="1442" spans="1:240">
      <c r="A1442" s="14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3"/>
      <c r="AB1442" s="23"/>
      <c r="AC1442" s="23"/>
      <c r="AD1442" s="23"/>
      <c r="AE1442" s="23"/>
      <c r="AF1442" s="23"/>
      <c r="AG1442" s="23"/>
      <c r="AH1442" s="23"/>
      <c r="AI1442" s="23"/>
      <c r="AJ1442" s="23"/>
      <c r="AK1442" s="23"/>
      <c r="AL1442" s="23"/>
      <c r="AM1442" s="23"/>
      <c r="AN1442" s="23"/>
      <c r="AO1442" s="8"/>
      <c r="AP1442" s="8"/>
      <c r="AQ1442" s="8"/>
      <c r="AR1442" s="8"/>
      <c r="AS1442" s="8"/>
      <c r="AT1442" s="8"/>
      <c r="AU1442" s="8"/>
      <c r="AV1442" s="8"/>
      <c r="AW1442" s="8"/>
      <c r="AX1442" s="8"/>
      <c r="AY1442" s="8"/>
      <c r="AZ1442" s="8"/>
      <c r="BA1442" s="8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8"/>
      <c r="BS1442" s="8"/>
      <c r="BT1442" s="8"/>
      <c r="BU1442" s="8"/>
      <c r="BV1442" s="8"/>
      <c r="BW1442" s="8"/>
      <c r="BX1442" s="8"/>
      <c r="BY1442" s="8"/>
      <c r="BZ1442" s="8"/>
      <c r="CA1442" s="8"/>
      <c r="CB1442" s="8"/>
      <c r="CC1442" s="8"/>
      <c r="CD1442" s="8"/>
      <c r="CE1442" s="8"/>
      <c r="CF1442" s="8"/>
      <c r="CG1442" s="8"/>
      <c r="CH1442" s="8"/>
      <c r="CI1442" s="8"/>
      <c r="CJ1442" s="8"/>
      <c r="CK1442" s="8"/>
      <c r="CL1442" s="8"/>
      <c r="CM1442" s="8"/>
      <c r="CN1442" s="8"/>
      <c r="CO1442" s="8"/>
      <c r="CP1442" s="8"/>
      <c r="CQ1442" s="8"/>
      <c r="CR1442" s="8"/>
      <c r="CS1442" s="8"/>
      <c r="CT1442" s="8"/>
      <c r="CU1442" s="8"/>
      <c r="CV1442" s="8"/>
      <c r="CW1442" s="8"/>
      <c r="CX1442" s="8"/>
      <c r="CY1442" s="8"/>
      <c r="CZ1442" s="8"/>
      <c r="DA1442" s="8"/>
      <c r="DB1442" s="8"/>
      <c r="DC1442" s="8"/>
      <c r="DD1442" s="8"/>
      <c r="DE1442" s="8"/>
      <c r="DF1442" s="8"/>
      <c r="DG1442" s="8"/>
      <c r="DH1442" s="8"/>
      <c r="DI1442" s="8"/>
      <c r="DJ1442" s="8"/>
      <c r="DK1442" s="8"/>
      <c r="DL1442" s="8"/>
      <c r="DM1442" s="8"/>
      <c r="DN1442" s="8"/>
      <c r="DO1442" s="8"/>
      <c r="DP1442" s="8"/>
      <c r="DQ1442" s="8"/>
      <c r="DR1442" s="8"/>
      <c r="DS1442" s="8"/>
      <c r="DT1442" s="8"/>
      <c r="DU1442" s="8"/>
      <c r="DV1442" s="8"/>
      <c r="DW1442" s="8"/>
      <c r="DX1442" s="8"/>
      <c r="DY1442" s="8"/>
      <c r="DZ1442" s="8"/>
      <c r="EA1442" s="8"/>
      <c r="EB1442" s="8"/>
      <c r="EC1442" s="8"/>
      <c r="ED1442" s="8"/>
      <c r="EE1442" s="8"/>
      <c r="EF1442" s="8"/>
      <c r="EG1442" s="8"/>
      <c r="EH1442" s="8"/>
      <c r="EI1442" s="8"/>
      <c r="EJ1442" s="8"/>
      <c r="EK1442" s="8"/>
      <c r="EL1442" s="8"/>
      <c r="EM1442" s="8"/>
      <c r="EN1442" s="8"/>
      <c r="EO1442" s="8"/>
      <c r="EP1442" s="8"/>
      <c r="EQ1442" s="8"/>
      <c r="ER1442" s="8"/>
      <c r="ES1442" s="8"/>
      <c r="ET1442" s="8"/>
      <c r="EU1442" s="8"/>
      <c r="EV1442" s="8"/>
      <c r="EW1442" s="8"/>
      <c r="EX1442" s="8"/>
      <c r="EY1442" s="8"/>
      <c r="EZ1442" s="8"/>
      <c r="FA1442" s="8"/>
      <c r="FB1442" s="8"/>
      <c r="FC1442" s="8"/>
      <c r="FD1442" s="8"/>
      <c r="FE1442" s="8"/>
      <c r="FF1442" s="8"/>
      <c r="FG1442" s="8"/>
      <c r="FH1442" s="8"/>
      <c r="FI1442" s="8"/>
      <c r="FJ1442" s="8"/>
      <c r="FK1442" s="8"/>
      <c r="FL1442" s="8"/>
      <c r="FM1442" s="8"/>
      <c r="FN1442" s="8"/>
      <c r="FO1442" s="8"/>
      <c r="FP1442" s="8"/>
      <c r="FQ1442" s="8"/>
      <c r="FR1442" s="8"/>
      <c r="FS1442" s="8"/>
      <c r="FT1442" s="8"/>
      <c r="FU1442" s="8"/>
      <c r="FV1442" s="8"/>
      <c r="FW1442" s="8"/>
      <c r="FX1442" s="8"/>
      <c r="FY1442" s="8"/>
      <c r="FZ1442" s="8"/>
      <c r="GA1442" s="8"/>
      <c r="GB1442" s="8"/>
      <c r="GC1442" s="8"/>
      <c r="GD1442" s="8"/>
      <c r="GE1442" s="8"/>
      <c r="GF1442" s="8"/>
      <c r="GG1442" s="8"/>
      <c r="GH1442" s="8"/>
      <c r="GI1442" s="8"/>
      <c r="GJ1442" s="8"/>
      <c r="GK1442" s="8"/>
      <c r="GL1442" s="8"/>
      <c r="GM1442" s="8"/>
      <c r="GN1442" s="8"/>
      <c r="GO1442" s="8"/>
      <c r="GP1442" s="8"/>
      <c r="GQ1442" s="8"/>
      <c r="GR1442" s="8"/>
      <c r="GS1442" s="8"/>
      <c r="GT1442" s="8"/>
      <c r="GU1442" s="8"/>
      <c r="GV1442" s="8"/>
      <c r="GW1442" s="8"/>
      <c r="GX1442" s="8"/>
      <c r="GY1442" s="8"/>
      <c r="GZ1442" s="8"/>
      <c r="HA1442" s="8"/>
      <c r="HB1442" s="8"/>
      <c r="HC1442" s="8"/>
      <c r="HD1442" s="8"/>
      <c r="HE1442" s="8"/>
      <c r="HF1442" s="8"/>
      <c r="HG1442" s="8"/>
      <c r="HH1442" s="8"/>
      <c r="HI1442" s="8"/>
      <c r="HJ1442" s="8"/>
      <c r="HK1442" s="8"/>
      <c r="HL1442" s="8"/>
      <c r="HM1442" s="8"/>
      <c r="HN1442" s="8"/>
      <c r="HO1442" s="8"/>
      <c r="HP1442" s="8"/>
      <c r="HQ1442" s="8"/>
      <c r="HR1442" s="8"/>
      <c r="HS1442" s="8"/>
      <c r="HT1442" s="8"/>
      <c r="HU1442" s="8"/>
      <c r="HV1442" s="8"/>
      <c r="HW1442" s="8"/>
      <c r="HX1442" s="8"/>
      <c r="HY1442" s="8"/>
      <c r="HZ1442" s="8"/>
      <c r="IA1442" s="8"/>
      <c r="IB1442" s="8"/>
      <c r="IC1442" s="8"/>
      <c r="ID1442" s="8"/>
      <c r="IE1442" s="8"/>
      <c r="IF1442" s="8"/>
    </row>
    <row r="1443" spans="1:240">
      <c r="A1443" s="14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3"/>
      <c r="AD1443" s="23"/>
      <c r="AE1443" s="23"/>
      <c r="AF1443" s="23"/>
      <c r="AG1443" s="23"/>
      <c r="AH1443" s="23"/>
      <c r="AI1443" s="23"/>
      <c r="AJ1443" s="23"/>
      <c r="AK1443" s="23"/>
      <c r="AL1443" s="23"/>
      <c r="AM1443" s="23"/>
      <c r="AN1443" s="23"/>
      <c r="AO1443" s="8"/>
      <c r="AP1443" s="8"/>
      <c r="AQ1443" s="8"/>
      <c r="AR1443" s="8"/>
      <c r="AS1443" s="8"/>
      <c r="AT1443" s="8"/>
      <c r="AU1443" s="8"/>
      <c r="AV1443" s="8"/>
      <c r="AW1443" s="8"/>
      <c r="AX1443" s="8"/>
      <c r="AY1443" s="8"/>
      <c r="AZ1443" s="8"/>
      <c r="BA1443" s="8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8"/>
      <c r="BS1443" s="8"/>
      <c r="BT1443" s="8"/>
      <c r="BU1443" s="8"/>
      <c r="BV1443" s="8"/>
      <c r="BW1443" s="8"/>
      <c r="BX1443" s="8"/>
      <c r="BY1443" s="8"/>
      <c r="BZ1443" s="8"/>
      <c r="CA1443" s="8"/>
      <c r="CB1443" s="8"/>
      <c r="CC1443" s="8"/>
      <c r="CD1443" s="8"/>
      <c r="CE1443" s="8"/>
      <c r="CF1443" s="8"/>
      <c r="CG1443" s="8"/>
      <c r="CH1443" s="8"/>
      <c r="CI1443" s="8"/>
      <c r="CJ1443" s="8"/>
      <c r="CK1443" s="8"/>
      <c r="CL1443" s="8"/>
      <c r="CM1443" s="8"/>
      <c r="CN1443" s="8"/>
      <c r="CO1443" s="8"/>
      <c r="CP1443" s="8"/>
      <c r="CQ1443" s="8"/>
      <c r="CR1443" s="8"/>
      <c r="CS1443" s="8"/>
      <c r="CT1443" s="8"/>
      <c r="CU1443" s="8"/>
      <c r="CV1443" s="8"/>
      <c r="CW1443" s="8"/>
      <c r="CX1443" s="8"/>
      <c r="CY1443" s="8"/>
      <c r="CZ1443" s="8"/>
      <c r="DA1443" s="8"/>
      <c r="DB1443" s="8"/>
      <c r="DC1443" s="8"/>
      <c r="DD1443" s="8"/>
      <c r="DE1443" s="8"/>
      <c r="DF1443" s="8"/>
      <c r="DG1443" s="8"/>
      <c r="DH1443" s="8"/>
      <c r="DI1443" s="8"/>
      <c r="DJ1443" s="8"/>
      <c r="DK1443" s="8"/>
      <c r="DL1443" s="8"/>
      <c r="DM1443" s="8"/>
      <c r="DN1443" s="8"/>
      <c r="DO1443" s="8"/>
      <c r="DP1443" s="8"/>
      <c r="DQ1443" s="8"/>
      <c r="DR1443" s="8"/>
      <c r="DS1443" s="8"/>
      <c r="DT1443" s="8"/>
      <c r="DU1443" s="8"/>
      <c r="DV1443" s="8"/>
      <c r="DW1443" s="8"/>
      <c r="DX1443" s="8"/>
      <c r="DY1443" s="8"/>
      <c r="DZ1443" s="8"/>
      <c r="EA1443" s="8"/>
      <c r="EB1443" s="8"/>
      <c r="EC1443" s="8"/>
      <c r="ED1443" s="8"/>
      <c r="EE1443" s="8"/>
      <c r="EF1443" s="8"/>
      <c r="EG1443" s="8"/>
      <c r="EH1443" s="8"/>
      <c r="EI1443" s="8"/>
      <c r="EJ1443" s="8"/>
      <c r="EK1443" s="8"/>
      <c r="EL1443" s="8"/>
      <c r="EM1443" s="8"/>
      <c r="EN1443" s="8"/>
      <c r="EO1443" s="8"/>
      <c r="EP1443" s="8"/>
      <c r="EQ1443" s="8"/>
      <c r="ER1443" s="8"/>
      <c r="ES1443" s="8"/>
      <c r="ET1443" s="8"/>
      <c r="EU1443" s="8"/>
      <c r="EV1443" s="8"/>
      <c r="EW1443" s="8"/>
      <c r="EX1443" s="8"/>
      <c r="EY1443" s="8"/>
      <c r="EZ1443" s="8"/>
      <c r="FA1443" s="8"/>
      <c r="FB1443" s="8"/>
      <c r="FC1443" s="8"/>
      <c r="FD1443" s="8"/>
      <c r="FE1443" s="8"/>
      <c r="FF1443" s="8"/>
      <c r="FG1443" s="8"/>
      <c r="FH1443" s="8"/>
      <c r="FI1443" s="8"/>
      <c r="FJ1443" s="8"/>
      <c r="FK1443" s="8"/>
      <c r="FL1443" s="8"/>
      <c r="FM1443" s="8"/>
      <c r="FN1443" s="8"/>
      <c r="FO1443" s="8"/>
      <c r="FP1443" s="8"/>
      <c r="FQ1443" s="8"/>
      <c r="FR1443" s="8"/>
      <c r="FS1443" s="8"/>
      <c r="FT1443" s="8"/>
      <c r="FU1443" s="8"/>
      <c r="FV1443" s="8"/>
      <c r="FW1443" s="8"/>
      <c r="FX1443" s="8"/>
      <c r="FY1443" s="8"/>
      <c r="FZ1443" s="8"/>
      <c r="GA1443" s="8"/>
      <c r="GB1443" s="8"/>
      <c r="GC1443" s="8"/>
      <c r="GD1443" s="8"/>
      <c r="GE1443" s="8"/>
      <c r="GF1443" s="8"/>
      <c r="GG1443" s="8"/>
      <c r="GH1443" s="8"/>
      <c r="GI1443" s="8"/>
      <c r="GJ1443" s="8"/>
      <c r="GK1443" s="8"/>
      <c r="GL1443" s="8"/>
      <c r="GM1443" s="8"/>
      <c r="GN1443" s="8"/>
      <c r="GO1443" s="8"/>
      <c r="GP1443" s="8"/>
      <c r="GQ1443" s="8"/>
      <c r="GR1443" s="8"/>
      <c r="GS1443" s="8"/>
      <c r="GT1443" s="8"/>
      <c r="GU1443" s="8"/>
      <c r="GV1443" s="8"/>
      <c r="GW1443" s="8"/>
      <c r="GX1443" s="8"/>
      <c r="GY1443" s="8"/>
      <c r="GZ1443" s="8"/>
      <c r="HA1443" s="8"/>
      <c r="HB1443" s="8"/>
      <c r="HC1443" s="8"/>
      <c r="HD1443" s="8"/>
      <c r="HE1443" s="8"/>
      <c r="HF1443" s="8"/>
      <c r="HG1443" s="8"/>
      <c r="HH1443" s="8"/>
      <c r="HI1443" s="8"/>
      <c r="HJ1443" s="8"/>
      <c r="HK1443" s="8"/>
      <c r="HL1443" s="8"/>
      <c r="HM1443" s="8"/>
      <c r="HN1443" s="8"/>
      <c r="HO1443" s="8"/>
      <c r="HP1443" s="8"/>
      <c r="HQ1443" s="8"/>
      <c r="HR1443" s="8"/>
      <c r="HS1443" s="8"/>
      <c r="HT1443" s="8"/>
      <c r="HU1443" s="8"/>
      <c r="HV1443" s="8"/>
      <c r="HW1443" s="8"/>
      <c r="HX1443" s="8"/>
      <c r="HY1443" s="8"/>
      <c r="HZ1443" s="8"/>
      <c r="IA1443" s="8"/>
      <c r="IB1443" s="8"/>
      <c r="IC1443" s="8"/>
      <c r="ID1443" s="8"/>
      <c r="IE1443" s="8"/>
      <c r="IF1443" s="8"/>
    </row>
    <row r="1444" spans="1:240">
      <c r="A1444" s="14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3"/>
      <c r="AB1444" s="23"/>
      <c r="AC1444" s="23"/>
      <c r="AD1444" s="23"/>
      <c r="AE1444" s="23"/>
      <c r="AF1444" s="23"/>
      <c r="AG1444" s="23"/>
      <c r="AH1444" s="23"/>
      <c r="AI1444" s="23"/>
      <c r="AJ1444" s="23"/>
      <c r="AK1444" s="23"/>
      <c r="AL1444" s="23"/>
      <c r="AM1444" s="23"/>
      <c r="AN1444" s="23"/>
      <c r="AO1444" s="8"/>
      <c r="AP1444" s="8"/>
      <c r="AQ1444" s="8"/>
      <c r="AR1444" s="8"/>
      <c r="AS1444" s="8"/>
      <c r="AT1444" s="8"/>
      <c r="AU1444" s="8"/>
      <c r="AV1444" s="8"/>
      <c r="AW1444" s="8"/>
      <c r="AX1444" s="8"/>
      <c r="AY1444" s="8"/>
      <c r="AZ1444" s="8"/>
      <c r="BA1444" s="8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8"/>
      <c r="BS1444" s="8"/>
      <c r="BT1444" s="8"/>
      <c r="BU1444" s="8"/>
      <c r="BV1444" s="8"/>
      <c r="BW1444" s="8"/>
      <c r="BX1444" s="8"/>
      <c r="BY1444" s="8"/>
      <c r="BZ1444" s="8"/>
      <c r="CA1444" s="8"/>
      <c r="CB1444" s="8"/>
      <c r="CC1444" s="8"/>
      <c r="CD1444" s="8"/>
      <c r="CE1444" s="8"/>
      <c r="CF1444" s="8"/>
      <c r="CG1444" s="8"/>
      <c r="CH1444" s="8"/>
      <c r="CI1444" s="8"/>
      <c r="CJ1444" s="8"/>
      <c r="CK1444" s="8"/>
      <c r="CL1444" s="8"/>
      <c r="CM1444" s="8"/>
      <c r="CN1444" s="8"/>
      <c r="CO1444" s="8"/>
      <c r="CP1444" s="8"/>
      <c r="CQ1444" s="8"/>
      <c r="CR1444" s="8"/>
      <c r="CS1444" s="8"/>
      <c r="CT1444" s="8"/>
      <c r="CU1444" s="8"/>
      <c r="CV1444" s="8"/>
      <c r="CW1444" s="8"/>
      <c r="CX1444" s="8"/>
      <c r="CY1444" s="8"/>
      <c r="CZ1444" s="8"/>
      <c r="DA1444" s="8"/>
      <c r="DB1444" s="8"/>
      <c r="DC1444" s="8"/>
      <c r="DD1444" s="8"/>
      <c r="DE1444" s="8"/>
      <c r="DF1444" s="8"/>
      <c r="DG1444" s="8"/>
      <c r="DH1444" s="8"/>
      <c r="DI1444" s="8"/>
      <c r="DJ1444" s="8"/>
      <c r="DK1444" s="8"/>
      <c r="DL1444" s="8"/>
      <c r="DM1444" s="8"/>
      <c r="DN1444" s="8"/>
      <c r="DO1444" s="8"/>
      <c r="DP1444" s="8"/>
      <c r="DQ1444" s="8"/>
      <c r="DR1444" s="8"/>
      <c r="DS1444" s="8"/>
      <c r="DT1444" s="8"/>
      <c r="DU1444" s="8"/>
      <c r="DV1444" s="8"/>
      <c r="DW1444" s="8"/>
      <c r="DX1444" s="8"/>
      <c r="DY1444" s="8"/>
      <c r="DZ1444" s="8"/>
      <c r="EA1444" s="8"/>
      <c r="EB1444" s="8"/>
      <c r="EC1444" s="8"/>
      <c r="ED1444" s="8"/>
      <c r="EE1444" s="8"/>
      <c r="EF1444" s="8"/>
      <c r="EG1444" s="8"/>
      <c r="EH1444" s="8"/>
      <c r="EI1444" s="8"/>
      <c r="EJ1444" s="8"/>
      <c r="EK1444" s="8"/>
      <c r="EL1444" s="8"/>
      <c r="EM1444" s="8"/>
      <c r="EN1444" s="8"/>
      <c r="EO1444" s="8"/>
      <c r="EP1444" s="8"/>
      <c r="EQ1444" s="8"/>
      <c r="ER1444" s="8"/>
      <c r="ES1444" s="8"/>
      <c r="ET1444" s="8"/>
      <c r="EU1444" s="8"/>
      <c r="EV1444" s="8"/>
      <c r="EW1444" s="8"/>
      <c r="EX1444" s="8"/>
      <c r="EY1444" s="8"/>
      <c r="EZ1444" s="8"/>
      <c r="FA1444" s="8"/>
      <c r="FB1444" s="8"/>
      <c r="FC1444" s="8"/>
      <c r="FD1444" s="8"/>
      <c r="FE1444" s="8"/>
      <c r="FF1444" s="8"/>
      <c r="FG1444" s="8"/>
      <c r="FH1444" s="8"/>
      <c r="FI1444" s="8"/>
      <c r="FJ1444" s="8"/>
      <c r="FK1444" s="8"/>
      <c r="FL1444" s="8"/>
      <c r="FM1444" s="8"/>
      <c r="FN1444" s="8"/>
      <c r="FO1444" s="8"/>
      <c r="FP1444" s="8"/>
      <c r="FQ1444" s="8"/>
      <c r="FR1444" s="8"/>
      <c r="FS1444" s="8"/>
      <c r="FT1444" s="8"/>
      <c r="FU1444" s="8"/>
      <c r="FV1444" s="8"/>
      <c r="FW1444" s="8"/>
      <c r="FX1444" s="8"/>
      <c r="FY1444" s="8"/>
      <c r="FZ1444" s="8"/>
      <c r="GA1444" s="8"/>
      <c r="GB1444" s="8"/>
      <c r="GC1444" s="8"/>
      <c r="GD1444" s="8"/>
      <c r="GE1444" s="8"/>
      <c r="GF1444" s="8"/>
      <c r="GG1444" s="8"/>
      <c r="GH1444" s="8"/>
      <c r="GI1444" s="8"/>
      <c r="GJ1444" s="8"/>
      <c r="GK1444" s="8"/>
      <c r="GL1444" s="8"/>
      <c r="GM1444" s="8"/>
      <c r="GN1444" s="8"/>
      <c r="GO1444" s="8"/>
      <c r="GP1444" s="8"/>
      <c r="GQ1444" s="8"/>
      <c r="GR1444" s="8"/>
      <c r="GS1444" s="8"/>
      <c r="GT1444" s="8"/>
      <c r="GU1444" s="8"/>
      <c r="GV1444" s="8"/>
      <c r="GW1444" s="8"/>
      <c r="GX1444" s="8"/>
      <c r="GY1444" s="8"/>
      <c r="GZ1444" s="8"/>
      <c r="HA1444" s="8"/>
      <c r="HB1444" s="8"/>
      <c r="HC1444" s="8"/>
      <c r="HD1444" s="8"/>
      <c r="HE1444" s="8"/>
      <c r="HF1444" s="8"/>
      <c r="HG1444" s="8"/>
      <c r="HH1444" s="8"/>
      <c r="HI1444" s="8"/>
      <c r="HJ1444" s="8"/>
      <c r="HK1444" s="8"/>
      <c r="HL1444" s="8"/>
      <c r="HM1444" s="8"/>
      <c r="HN1444" s="8"/>
      <c r="HO1444" s="8"/>
      <c r="HP1444" s="8"/>
      <c r="HQ1444" s="8"/>
      <c r="HR1444" s="8"/>
      <c r="HS1444" s="8"/>
      <c r="HT1444" s="8"/>
      <c r="HU1444" s="8"/>
      <c r="HV1444" s="8"/>
      <c r="HW1444" s="8"/>
      <c r="HX1444" s="8"/>
      <c r="HY1444" s="8"/>
      <c r="HZ1444" s="8"/>
      <c r="IA1444" s="8"/>
      <c r="IB1444" s="8"/>
      <c r="IC1444" s="8"/>
      <c r="ID1444" s="8"/>
      <c r="IE1444" s="8"/>
      <c r="IF1444" s="8"/>
    </row>
    <row r="1445" spans="1:240">
      <c r="A1445" s="14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  <c r="AC1445" s="23"/>
      <c r="AD1445" s="23"/>
      <c r="AE1445" s="23"/>
      <c r="AF1445" s="23"/>
      <c r="AG1445" s="23"/>
      <c r="AH1445" s="23"/>
      <c r="AI1445" s="23"/>
      <c r="AJ1445" s="23"/>
      <c r="AK1445" s="23"/>
      <c r="AL1445" s="23"/>
      <c r="AM1445" s="23"/>
      <c r="AN1445" s="23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8"/>
      <c r="BS1445" s="8"/>
      <c r="BT1445" s="8"/>
      <c r="BU1445" s="8"/>
      <c r="BV1445" s="8"/>
      <c r="BW1445" s="8"/>
      <c r="BX1445" s="8"/>
      <c r="BY1445" s="8"/>
      <c r="BZ1445" s="8"/>
      <c r="CA1445" s="8"/>
      <c r="CB1445" s="8"/>
      <c r="CC1445" s="8"/>
      <c r="CD1445" s="8"/>
      <c r="CE1445" s="8"/>
      <c r="CF1445" s="8"/>
      <c r="CG1445" s="8"/>
      <c r="CH1445" s="8"/>
      <c r="CI1445" s="8"/>
      <c r="CJ1445" s="8"/>
      <c r="CK1445" s="8"/>
      <c r="CL1445" s="8"/>
      <c r="CM1445" s="8"/>
      <c r="CN1445" s="8"/>
      <c r="CO1445" s="8"/>
      <c r="CP1445" s="8"/>
      <c r="CQ1445" s="8"/>
      <c r="CR1445" s="8"/>
      <c r="CS1445" s="8"/>
      <c r="CT1445" s="8"/>
      <c r="CU1445" s="8"/>
      <c r="CV1445" s="8"/>
      <c r="CW1445" s="8"/>
      <c r="CX1445" s="8"/>
      <c r="CY1445" s="8"/>
      <c r="CZ1445" s="8"/>
      <c r="DA1445" s="8"/>
      <c r="DB1445" s="8"/>
      <c r="DC1445" s="8"/>
      <c r="DD1445" s="8"/>
      <c r="DE1445" s="8"/>
      <c r="DF1445" s="8"/>
      <c r="DG1445" s="8"/>
      <c r="DH1445" s="8"/>
      <c r="DI1445" s="8"/>
      <c r="DJ1445" s="8"/>
      <c r="DK1445" s="8"/>
      <c r="DL1445" s="8"/>
      <c r="DM1445" s="8"/>
      <c r="DN1445" s="8"/>
      <c r="DO1445" s="8"/>
      <c r="DP1445" s="8"/>
      <c r="DQ1445" s="8"/>
      <c r="DR1445" s="8"/>
      <c r="DS1445" s="8"/>
      <c r="DT1445" s="8"/>
      <c r="DU1445" s="8"/>
      <c r="DV1445" s="8"/>
      <c r="DW1445" s="8"/>
      <c r="DX1445" s="8"/>
      <c r="DY1445" s="8"/>
      <c r="DZ1445" s="8"/>
      <c r="EA1445" s="8"/>
      <c r="EB1445" s="8"/>
      <c r="EC1445" s="8"/>
      <c r="ED1445" s="8"/>
      <c r="EE1445" s="8"/>
      <c r="EF1445" s="8"/>
      <c r="EG1445" s="8"/>
      <c r="EH1445" s="8"/>
      <c r="EI1445" s="8"/>
      <c r="EJ1445" s="8"/>
      <c r="EK1445" s="8"/>
      <c r="EL1445" s="8"/>
      <c r="EM1445" s="8"/>
      <c r="EN1445" s="8"/>
      <c r="EO1445" s="8"/>
      <c r="EP1445" s="8"/>
      <c r="EQ1445" s="8"/>
      <c r="ER1445" s="8"/>
      <c r="ES1445" s="8"/>
      <c r="ET1445" s="8"/>
      <c r="EU1445" s="8"/>
      <c r="EV1445" s="8"/>
      <c r="EW1445" s="8"/>
      <c r="EX1445" s="8"/>
      <c r="EY1445" s="8"/>
      <c r="EZ1445" s="8"/>
      <c r="FA1445" s="8"/>
      <c r="FB1445" s="8"/>
      <c r="FC1445" s="8"/>
      <c r="FD1445" s="8"/>
      <c r="FE1445" s="8"/>
      <c r="FF1445" s="8"/>
      <c r="FG1445" s="8"/>
      <c r="FH1445" s="8"/>
      <c r="FI1445" s="8"/>
      <c r="FJ1445" s="8"/>
      <c r="FK1445" s="8"/>
      <c r="FL1445" s="8"/>
      <c r="FM1445" s="8"/>
      <c r="FN1445" s="8"/>
      <c r="FO1445" s="8"/>
      <c r="FP1445" s="8"/>
      <c r="FQ1445" s="8"/>
      <c r="FR1445" s="8"/>
      <c r="FS1445" s="8"/>
      <c r="FT1445" s="8"/>
      <c r="FU1445" s="8"/>
      <c r="FV1445" s="8"/>
      <c r="FW1445" s="8"/>
      <c r="FX1445" s="8"/>
      <c r="FY1445" s="8"/>
      <c r="FZ1445" s="8"/>
      <c r="GA1445" s="8"/>
      <c r="GB1445" s="8"/>
      <c r="GC1445" s="8"/>
      <c r="GD1445" s="8"/>
      <c r="GE1445" s="8"/>
      <c r="GF1445" s="8"/>
      <c r="GG1445" s="8"/>
      <c r="GH1445" s="8"/>
      <c r="GI1445" s="8"/>
      <c r="GJ1445" s="8"/>
      <c r="GK1445" s="8"/>
      <c r="GL1445" s="8"/>
      <c r="GM1445" s="8"/>
      <c r="GN1445" s="8"/>
      <c r="GO1445" s="8"/>
      <c r="GP1445" s="8"/>
      <c r="GQ1445" s="8"/>
      <c r="GR1445" s="8"/>
      <c r="GS1445" s="8"/>
      <c r="GT1445" s="8"/>
      <c r="GU1445" s="8"/>
      <c r="GV1445" s="8"/>
      <c r="GW1445" s="8"/>
      <c r="GX1445" s="8"/>
      <c r="GY1445" s="8"/>
      <c r="GZ1445" s="8"/>
      <c r="HA1445" s="8"/>
      <c r="HB1445" s="8"/>
      <c r="HC1445" s="8"/>
      <c r="HD1445" s="8"/>
      <c r="HE1445" s="8"/>
      <c r="HF1445" s="8"/>
      <c r="HG1445" s="8"/>
      <c r="HH1445" s="8"/>
      <c r="HI1445" s="8"/>
      <c r="HJ1445" s="8"/>
      <c r="HK1445" s="8"/>
      <c r="HL1445" s="8"/>
      <c r="HM1445" s="8"/>
      <c r="HN1445" s="8"/>
      <c r="HO1445" s="8"/>
      <c r="HP1445" s="8"/>
      <c r="HQ1445" s="8"/>
      <c r="HR1445" s="8"/>
      <c r="HS1445" s="8"/>
      <c r="HT1445" s="8"/>
      <c r="HU1445" s="8"/>
      <c r="HV1445" s="8"/>
      <c r="HW1445" s="8"/>
      <c r="HX1445" s="8"/>
      <c r="HY1445" s="8"/>
      <c r="HZ1445" s="8"/>
      <c r="IA1445" s="8"/>
      <c r="IB1445" s="8"/>
      <c r="IC1445" s="8"/>
      <c r="ID1445" s="8"/>
      <c r="IE1445" s="8"/>
      <c r="IF1445" s="8"/>
    </row>
    <row r="1446" spans="1:240">
      <c r="A1446" s="14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3"/>
      <c r="AB1446" s="23"/>
      <c r="AC1446" s="23"/>
      <c r="AD1446" s="23"/>
      <c r="AE1446" s="23"/>
      <c r="AF1446" s="23"/>
      <c r="AG1446" s="23"/>
      <c r="AH1446" s="23"/>
      <c r="AI1446" s="23"/>
      <c r="AJ1446" s="23"/>
      <c r="AK1446" s="23"/>
      <c r="AL1446" s="23"/>
      <c r="AM1446" s="23"/>
      <c r="AN1446" s="23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8"/>
      <c r="BS1446" s="8"/>
      <c r="BT1446" s="8"/>
      <c r="BU1446" s="8"/>
      <c r="BV1446" s="8"/>
      <c r="BW1446" s="8"/>
      <c r="BX1446" s="8"/>
      <c r="BY1446" s="8"/>
      <c r="BZ1446" s="8"/>
      <c r="CA1446" s="8"/>
      <c r="CB1446" s="8"/>
      <c r="CC1446" s="8"/>
      <c r="CD1446" s="8"/>
      <c r="CE1446" s="8"/>
      <c r="CF1446" s="8"/>
      <c r="CG1446" s="8"/>
      <c r="CH1446" s="8"/>
      <c r="CI1446" s="8"/>
      <c r="CJ1446" s="8"/>
      <c r="CK1446" s="8"/>
      <c r="CL1446" s="8"/>
      <c r="CM1446" s="8"/>
      <c r="CN1446" s="8"/>
      <c r="CO1446" s="8"/>
      <c r="CP1446" s="8"/>
      <c r="CQ1446" s="8"/>
      <c r="CR1446" s="8"/>
      <c r="CS1446" s="8"/>
      <c r="CT1446" s="8"/>
      <c r="CU1446" s="8"/>
      <c r="CV1446" s="8"/>
      <c r="CW1446" s="8"/>
      <c r="CX1446" s="8"/>
      <c r="CY1446" s="8"/>
      <c r="CZ1446" s="8"/>
      <c r="DA1446" s="8"/>
      <c r="DB1446" s="8"/>
      <c r="DC1446" s="8"/>
      <c r="DD1446" s="8"/>
      <c r="DE1446" s="8"/>
      <c r="DF1446" s="8"/>
      <c r="DG1446" s="8"/>
      <c r="DH1446" s="8"/>
      <c r="DI1446" s="8"/>
      <c r="DJ1446" s="8"/>
      <c r="DK1446" s="8"/>
      <c r="DL1446" s="8"/>
      <c r="DM1446" s="8"/>
      <c r="DN1446" s="8"/>
      <c r="DO1446" s="8"/>
      <c r="DP1446" s="8"/>
      <c r="DQ1446" s="8"/>
      <c r="DR1446" s="8"/>
      <c r="DS1446" s="8"/>
      <c r="DT1446" s="8"/>
      <c r="DU1446" s="8"/>
      <c r="DV1446" s="8"/>
      <c r="DW1446" s="8"/>
      <c r="DX1446" s="8"/>
      <c r="DY1446" s="8"/>
      <c r="DZ1446" s="8"/>
      <c r="EA1446" s="8"/>
      <c r="EB1446" s="8"/>
      <c r="EC1446" s="8"/>
      <c r="ED1446" s="8"/>
      <c r="EE1446" s="8"/>
      <c r="EF1446" s="8"/>
      <c r="EG1446" s="8"/>
      <c r="EH1446" s="8"/>
      <c r="EI1446" s="8"/>
      <c r="EJ1446" s="8"/>
      <c r="EK1446" s="8"/>
      <c r="EL1446" s="8"/>
      <c r="EM1446" s="8"/>
      <c r="EN1446" s="8"/>
      <c r="EO1446" s="8"/>
      <c r="EP1446" s="8"/>
      <c r="EQ1446" s="8"/>
      <c r="ER1446" s="8"/>
      <c r="ES1446" s="8"/>
      <c r="ET1446" s="8"/>
      <c r="EU1446" s="8"/>
      <c r="EV1446" s="8"/>
      <c r="EW1446" s="8"/>
      <c r="EX1446" s="8"/>
      <c r="EY1446" s="8"/>
      <c r="EZ1446" s="8"/>
      <c r="FA1446" s="8"/>
      <c r="FB1446" s="8"/>
      <c r="FC1446" s="8"/>
      <c r="FD1446" s="8"/>
      <c r="FE1446" s="8"/>
      <c r="FF1446" s="8"/>
      <c r="FG1446" s="8"/>
      <c r="FH1446" s="8"/>
      <c r="FI1446" s="8"/>
      <c r="FJ1446" s="8"/>
      <c r="FK1446" s="8"/>
      <c r="FL1446" s="8"/>
      <c r="FM1446" s="8"/>
      <c r="FN1446" s="8"/>
      <c r="FO1446" s="8"/>
      <c r="FP1446" s="8"/>
      <c r="FQ1446" s="8"/>
      <c r="FR1446" s="8"/>
      <c r="FS1446" s="8"/>
      <c r="FT1446" s="8"/>
      <c r="FU1446" s="8"/>
      <c r="FV1446" s="8"/>
      <c r="FW1446" s="8"/>
      <c r="FX1446" s="8"/>
      <c r="FY1446" s="8"/>
      <c r="FZ1446" s="8"/>
      <c r="GA1446" s="8"/>
      <c r="GB1446" s="8"/>
      <c r="GC1446" s="8"/>
      <c r="GD1446" s="8"/>
      <c r="GE1446" s="8"/>
      <c r="GF1446" s="8"/>
      <c r="GG1446" s="8"/>
      <c r="GH1446" s="8"/>
      <c r="GI1446" s="8"/>
      <c r="GJ1446" s="8"/>
      <c r="GK1446" s="8"/>
      <c r="GL1446" s="8"/>
      <c r="GM1446" s="8"/>
      <c r="GN1446" s="8"/>
      <c r="GO1446" s="8"/>
      <c r="GP1446" s="8"/>
      <c r="GQ1446" s="8"/>
      <c r="GR1446" s="8"/>
      <c r="GS1446" s="8"/>
      <c r="GT1446" s="8"/>
      <c r="GU1446" s="8"/>
      <c r="GV1446" s="8"/>
      <c r="GW1446" s="8"/>
      <c r="GX1446" s="8"/>
      <c r="GY1446" s="8"/>
      <c r="GZ1446" s="8"/>
      <c r="HA1446" s="8"/>
      <c r="HB1446" s="8"/>
      <c r="HC1446" s="8"/>
      <c r="HD1446" s="8"/>
      <c r="HE1446" s="8"/>
      <c r="HF1446" s="8"/>
      <c r="HG1446" s="8"/>
      <c r="HH1446" s="8"/>
      <c r="HI1446" s="8"/>
      <c r="HJ1446" s="8"/>
      <c r="HK1446" s="8"/>
      <c r="HL1446" s="8"/>
      <c r="HM1446" s="8"/>
      <c r="HN1446" s="8"/>
      <c r="HO1446" s="8"/>
      <c r="HP1446" s="8"/>
      <c r="HQ1446" s="8"/>
      <c r="HR1446" s="8"/>
      <c r="HS1446" s="8"/>
      <c r="HT1446" s="8"/>
      <c r="HU1446" s="8"/>
      <c r="HV1446" s="8"/>
      <c r="HW1446" s="8"/>
      <c r="HX1446" s="8"/>
      <c r="HY1446" s="8"/>
      <c r="HZ1446" s="8"/>
      <c r="IA1446" s="8"/>
      <c r="IB1446" s="8"/>
      <c r="IC1446" s="8"/>
      <c r="ID1446" s="8"/>
      <c r="IE1446" s="8"/>
      <c r="IF1446" s="8"/>
    </row>
    <row r="1447" spans="1:240">
      <c r="A1447" s="14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3"/>
      <c r="AB1447" s="23"/>
      <c r="AC1447" s="23"/>
      <c r="AD1447" s="23"/>
      <c r="AE1447" s="23"/>
      <c r="AF1447" s="23"/>
      <c r="AG1447" s="23"/>
      <c r="AH1447" s="23"/>
      <c r="AI1447" s="23"/>
      <c r="AJ1447" s="23"/>
      <c r="AK1447" s="23"/>
      <c r="AL1447" s="23"/>
      <c r="AM1447" s="23"/>
      <c r="AN1447" s="23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8"/>
      <c r="BS1447" s="8"/>
      <c r="BT1447" s="8"/>
      <c r="BU1447" s="8"/>
      <c r="BV1447" s="8"/>
      <c r="BW1447" s="8"/>
      <c r="BX1447" s="8"/>
      <c r="BY1447" s="8"/>
      <c r="BZ1447" s="8"/>
      <c r="CA1447" s="8"/>
      <c r="CB1447" s="8"/>
      <c r="CC1447" s="8"/>
      <c r="CD1447" s="8"/>
      <c r="CE1447" s="8"/>
      <c r="CF1447" s="8"/>
      <c r="CG1447" s="8"/>
      <c r="CH1447" s="8"/>
      <c r="CI1447" s="8"/>
      <c r="CJ1447" s="8"/>
      <c r="CK1447" s="8"/>
      <c r="CL1447" s="8"/>
      <c r="CM1447" s="8"/>
      <c r="CN1447" s="8"/>
      <c r="CO1447" s="8"/>
      <c r="CP1447" s="8"/>
      <c r="CQ1447" s="8"/>
      <c r="CR1447" s="8"/>
      <c r="CS1447" s="8"/>
      <c r="CT1447" s="8"/>
      <c r="CU1447" s="8"/>
      <c r="CV1447" s="8"/>
      <c r="CW1447" s="8"/>
      <c r="CX1447" s="8"/>
      <c r="CY1447" s="8"/>
      <c r="CZ1447" s="8"/>
      <c r="DA1447" s="8"/>
      <c r="DB1447" s="8"/>
      <c r="DC1447" s="8"/>
      <c r="DD1447" s="8"/>
      <c r="DE1447" s="8"/>
      <c r="DF1447" s="8"/>
      <c r="DG1447" s="8"/>
      <c r="DH1447" s="8"/>
      <c r="DI1447" s="8"/>
      <c r="DJ1447" s="8"/>
      <c r="DK1447" s="8"/>
      <c r="DL1447" s="8"/>
      <c r="DM1447" s="8"/>
      <c r="DN1447" s="8"/>
      <c r="DO1447" s="8"/>
      <c r="DP1447" s="8"/>
      <c r="DQ1447" s="8"/>
      <c r="DR1447" s="8"/>
      <c r="DS1447" s="8"/>
      <c r="DT1447" s="8"/>
      <c r="DU1447" s="8"/>
      <c r="DV1447" s="8"/>
      <c r="DW1447" s="8"/>
      <c r="DX1447" s="8"/>
      <c r="DY1447" s="8"/>
      <c r="DZ1447" s="8"/>
      <c r="EA1447" s="8"/>
      <c r="EB1447" s="8"/>
      <c r="EC1447" s="8"/>
      <c r="ED1447" s="8"/>
      <c r="EE1447" s="8"/>
      <c r="EF1447" s="8"/>
      <c r="EG1447" s="8"/>
      <c r="EH1447" s="8"/>
      <c r="EI1447" s="8"/>
      <c r="EJ1447" s="8"/>
      <c r="EK1447" s="8"/>
      <c r="EL1447" s="8"/>
      <c r="EM1447" s="8"/>
      <c r="EN1447" s="8"/>
      <c r="EO1447" s="8"/>
      <c r="EP1447" s="8"/>
      <c r="EQ1447" s="8"/>
      <c r="ER1447" s="8"/>
      <c r="ES1447" s="8"/>
      <c r="ET1447" s="8"/>
      <c r="EU1447" s="8"/>
      <c r="EV1447" s="8"/>
      <c r="EW1447" s="8"/>
      <c r="EX1447" s="8"/>
      <c r="EY1447" s="8"/>
      <c r="EZ1447" s="8"/>
      <c r="FA1447" s="8"/>
      <c r="FB1447" s="8"/>
      <c r="FC1447" s="8"/>
      <c r="FD1447" s="8"/>
      <c r="FE1447" s="8"/>
      <c r="FF1447" s="8"/>
      <c r="FG1447" s="8"/>
      <c r="FH1447" s="8"/>
      <c r="FI1447" s="8"/>
      <c r="FJ1447" s="8"/>
      <c r="FK1447" s="8"/>
      <c r="FL1447" s="8"/>
      <c r="FM1447" s="8"/>
      <c r="FN1447" s="8"/>
      <c r="FO1447" s="8"/>
      <c r="FP1447" s="8"/>
      <c r="FQ1447" s="8"/>
      <c r="FR1447" s="8"/>
      <c r="FS1447" s="8"/>
      <c r="FT1447" s="8"/>
      <c r="FU1447" s="8"/>
      <c r="FV1447" s="8"/>
      <c r="FW1447" s="8"/>
      <c r="FX1447" s="8"/>
      <c r="FY1447" s="8"/>
      <c r="FZ1447" s="8"/>
      <c r="GA1447" s="8"/>
      <c r="GB1447" s="8"/>
      <c r="GC1447" s="8"/>
      <c r="GD1447" s="8"/>
      <c r="GE1447" s="8"/>
      <c r="GF1447" s="8"/>
      <c r="GG1447" s="8"/>
      <c r="GH1447" s="8"/>
      <c r="GI1447" s="8"/>
      <c r="GJ1447" s="8"/>
      <c r="GK1447" s="8"/>
      <c r="GL1447" s="8"/>
      <c r="GM1447" s="8"/>
      <c r="GN1447" s="8"/>
      <c r="GO1447" s="8"/>
      <c r="GP1447" s="8"/>
      <c r="GQ1447" s="8"/>
      <c r="GR1447" s="8"/>
      <c r="GS1447" s="8"/>
      <c r="GT1447" s="8"/>
      <c r="GU1447" s="8"/>
      <c r="GV1447" s="8"/>
      <c r="GW1447" s="8"/>
      <c r="GX1447" s="8"/>
      <c r="GY1447" s="8"/>
      <c r="GZ1447" s="8"/>
      <c r="HA1447" s="8"/>
      <c r="HB1447" s="8"/>
      <c r="HC1447" s="8"/>
      <c r="HD1447" s="8"/>
      <c r="HE1447" s="8"/>
      <c r="HF1447" s="8"/>
      <c r="HG1447" s="8"/>
      <c r="HH1447" s="8"/>
      <c r="HI1447" s="8"/>
      <c r="HJ1447" s="8"/>
      <c r="HK1447" s="8"/>
      <c r="HL1447" s="8"/>
      <c r="HM1447" s="8"/>
      <c r="HN1447" s="8"/>
      <c r="HO1447" s="8"/>
      <c r="HP1447" s="8"/>
      <c r="HQ1447" s="8"/>
      <c r="HR1447" s="8"/>
      <c r="HS1447" s="8"/>
      <c r="HT1447" s="8"/>
      <c r="HU1447" s="8"/>
      <c r="HV1447" s="8"/>
      <c r="HW1447" s="8"/>
      <c r="HX1447" s="8"/>
      <c r="HY1447" s="8"/>
      <c r="HZ1447" s="8"/>
      <c r="IA1447" s="8"/>
      <c r="IB1447" s="8"/>
      <c r="IC1447" s="8"/>
      <c r="ID1447" s="8"/>
      <c r="IE1447" s="8"/>
      <c r="IF1447" s="8"/>
    </row>
    <row r="1448" spans="1:240">
      <c r="A1448" s="14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3"/>
      <c r="AB1448" s="23"/>
      <c r="AC1448" s="23"/>
      <c r="AD1448" s="23"/>
      <c r="AE1448" s="23"/>
      <c r="AF1448" s="23"/>
      <c r="AG1448" s="23"/>
      <c r="AH1448" s="23"/>
      <c r="AI1448" s="23"/>
      <c r="AJ1448" s="23"/>
      <c r="AK1448" s="23"/>
      <c r="AL1448" s="23"/>
      <c r="AM1448" s="23"/>
      <c r="AN1448" s="23"/>
      <c r="AO1448" s="8"/>
      <c r="AP1448" s="8"/>
      <c r="AQ1448" s="8"/>
      <c r="AR1448" s="8"/>
      <c r="AS1448" s="8"/>
      <c r="AT1448" s="8"/>
      <c r="AU1448" s="8"/>
      <c r="AV1448" s="8"/>
      <c r="AW1448" s="8"/>
      <c r="AX1448" s="8"/>
      <c r="AY1448" s="8"/>
      <c r="AZ1448" s="8"/>
      <c r="BA1448" s="8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8"/>
      <c r="BS1448" s="8"/>
      <c r="BT1448" s="8"/>
      <c r="BU1448" s="8"/>
      <c r="BV1448" s="8"/>
      <c r="BW1448" s="8"/>
      <c r="BX1448" s="8"/>
      <c r="BY1448" s="8"/>
      <c r="BZ1448" s="8"/>
      <c r="CA1448" s="8"/>
      <c r="CB1448" s="8"/>
      <c r="CC1448" s="8"/>
      <c r="CD1448" s="8"/>
      <c r="CE1448" s="8"/>
      <c r="CF1448" s="8"/>
      <c r="CG1448" s="8"/>
      <c r="CH1448" s="8"/>
      <c r="CI1448" s="8"/>
      <c r="CJ1448" s="8"/>
      <c r="CK1448" s="8"/>
      <c r="CL1448" s="8"/>
      <c r="CM1448" s="8"/>
      <c r="CN1448" s="8"/>
      <c r="CO1448" s="8"/>
      <c r="CP1448" s="8"/>
      <c r="CQ1448" s="8"/>
      <c r="CR1448" s="8"/>
      <c r="CS1448" s="8"/>
      <c r="CT1448" s="8"/>
      <c r="CU1448" s="8"/>
      <c r="CV1448" s="8"/>
      <c r="CW1448" s="8"/>
      <c r="CX1448" s="8"/>
      <c r="CY1448" s="8"/>
      <c r="CZ1448" s="8"/>
      <c r="DA1448" s="8"/>
      <c r="DB1448" s="8"/>
      <c r="DC1448" s="8"/>
      <c r="DD1448" s="8"/>
      <c r="DE1448" s="8"/>
      <c r="DF1448" s="8"/>
      <c r="DG1448" s="8"/>
      <c r="DH1448" s="8"/>
      <c r="DI1448" s="8"/>
      <c r="DJ1448" s="8"/>
      <c r="DK1448" s="8"/>
      <c r="DL1448" s="8"/>
      <c r="DM1448" s="8"/>
      <c r="DN1448" s="8"/>
      <c r="DO1448" s="8"/>
      <c r="DP1448" s="8"/>
      <c r="DQ1448" s="8"/>
      <c r="DR1448" s="8"/>
      <c r="DS1448" s="8"/>
      <c r="DT1448" s="8"/>
      <c r="DU1448" s="8"/>
      <c r="DV1448" s="8"/>
      <c r="DW1448" s="8"/>
      <c r="DX1448" s="8"/>
      <c r="DY1448" s="8"/>
      <c r="DZ1448" s="8"/>
      <c r="EA1448" s="8"/>
      <c r="EB1448" s="8"/>
      <c r="EC1448" s="8"/>
      <c r="ED1448" s="8"/>
      <c r="EE1448" s="8"/>
      <c r="EF1448" s="8"/>
      <c r="EG1448" s="8"/>
      <c r="EH1448" s="8"/>
      <c r="EI1448" s="8"/>
      <c r="EJ1448" s="8"/>
      <c r="EK1448" s="8"/>
      <c r="EL1448" s="8"/>
      <c r="EM1448" s="8"/>
      <c r="EN1448" s="8"/>
      <c r="EO1448" s="8"/>
      <c r="EP1448" s="8"/>
      <c r="EQ1448" s="8"/>
      <c r="ER1448" s="8"/>
      <c r="ES1448" s="8"/>
      <c r="ET1448" s="8"/>
      <c r="EU1448" s="8"/>
      <c r="EV1448" s="8"/>
      <c r="EW1448" s="8"/>
      <c r="EX1448" s="8"/>
      <c r="EY1448" s="8"/>
      <c r="EZ1448" s="8"/>
      <c r="FA1448" s="8"/>
      <c r="FB1448" s="8"/>
      <c r="FC1448" s="8"/>
      <c r="FD1448" s="8"/>
      <c r="FE1448" s="8"/>
      <c r="FF1448" s="8"/>
      <c r="FG1448" s="8"/>
      <c r="FH1448" s="8"/>
      <c r="FI1448" s="8"/>
      <c r="FJ1448" s="8"/>
      <c r="FK1448" s="8"/>
      <c r="FL1448" s="8"/>
      <c r="FM1448" s="8"/>
      <c r="FN1448" s="8"/>
      <c r="FO1448" s="8"/>
      <c r="FP1448" s="8"/>
      <c r="FQ1448" s="8"/>
      <c r="FR1448" s="8"/>
      <c r="FS1448" s="8"/>
      <c r="FT1448" s="8"/>
      <c r="FU1448" s="8"/>
      <c r="FV1448" s="8"/>
      <c r="FW1448" s="8"/>
      <c r="FX1448" s="8"/>
      <c r="FY1448" s="8"/>
      <c r="FZ1448" s="8"/>
      <c r="GA1448" s="8"/>
      <c r="GB1448" s="8"/>
      <c r="GC1448" s="8"/>
      <c r="GD1448" s="8"/>
      <c r="GE1448" s="8"/>
      <c r="GF1448" s="8"/>
      <c r="GG1448" s="8"/>
      <c r="GH1448" s="8"/>
      <c r="GI1448" s="8"/>
      <c r="GJ1448" s="8"/>
      <c r="GK1448" s="8"/>
      <c r="GL1448" s="8"/>
      <c r="GM1448" s="8"/>
      <c r="GN1448" s="8"/>
      <c r="GO1448" s="8"/>
      <c r="GP1448" s="8"/>
      <c r="GQ1448" s="8"/>
      <c r="GR1448" s="8"/>
      <c r="GS1448" s="8"/>
      <c r="GT1448" s="8"/>
      <c r="GU1448" s="8"/>
      <c r="GV1448" s="8"/>
      <c r="GW1448" s="8"/>
      <c r="GX1448" s="8"/>
      <c r="GY1448" s="8"/>
      <c r="GZ1448" s="8"/>
      <c r="HA1448" s="8"/>
      <c r="HB1448" s="8"/>
      <c r="HC1448" s="8"/>
      <c r="HD1448" s="8"/>
      <c r="HE1448" s="8"/>
      <c r="HF1448" s="8"/>
      <c r="HG1448" s="8"/>
      <c r="HH1448" s="8"/>
      <c r="HI1448" s="8"/>
      <c r="HJ1448" s="8"/>
      <c r="HK1448" s="8"/>
      <c r="HL1448" s="8"/>
      <c r="HM1448" s="8"/>
      <c r="HN1448" s="8"/>
      <c r="HO1448" s="8"/>
      <c r="HP1448" s="8"/>
      <c r="HQ1448" s="8"/>
      <c r="HR1448" s="8"/>
      <c r="HS1448" s="8"/>
      <c r="HT1448" s="8"/>
      <c r="HU1448" s="8"/>
      <c r="HV1448" s="8"/>
      <c r="HW1448" s="8"/>
      <c r="HX1448" s="8"/>
      <c r="HY1448" s="8"/>
      <c r="HZ1448" s="8"/>
      <c r="IA1448" s="8"/>
      <c r="IB1448" s="8"/>
      <c r="IC1448" s="8"/>
      <c r="ID1448" s="8"/>
      <c r="IE1448" s="8"/>
      <c r="IF1448" s="8"/>
    </row>
    <row r="1449" spans="1:240">
      <c r="A1449" s="14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3"/>
      <c r="AD1449" s="23"/>
      <c r="AE1449" s="23"/>
      <c r="AF1449" s="23"/>
      <c r="AG1449" s="23"/>
      <c r="AH1449" s="23"/>
      <c r="AI1449" s="23"/>
      <c r="AJ1449" s="23"/>
      <c r="AK1449" s="23"/>
      <c r="AL1449" s="23"/>
      <c r="AM1449" s="23"/>
      <c r="AN1449" s="23"/>
      <c r="AO1449" s="8"/>
      <c r="AP1449" s="8"/>
      <c r="AQ1449" s="8"/>
      <c r="AR1449" s="8"/>
      <c r="AS1449" s="8"/>
      <c r="AT1449" s="8"/>
      <c r="AU1449" s="8"/>
      <c r="AV1449" s="8"/>
      <c r="AW1449" s="8"/>
      <c r="AX1449" s="8"/>
      <c r="AY1449" s="8"/>
      <c r="AZ1449" s="8"/>
      <c r="BA1449" s="8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8"/>
      <c r="BS1449" s="8"/>
      <c r="BT1449" s="8"/>
      <c r="BU1449" s="8"/>
      <c r="BV1449" s="8"/>
      <c r="BW1449" s="8"/>
      <c r="BX1449" s="8"/>
      <c r="BY1449" s="8"/>
      <c r="BZ1449" s="8"/>
      <c r="CA1449" s="8"/>
      <c r="CB1449" s="8"/>
      <c r="CC1449" s="8"/>
      <c r="CD1449" s="8"/>
      <c r="CE1449" s="8"/>
      <c r="CF1449" s="8"/>
      <c r="CG1449" s="8"/>
      <c r="CH1449" s="8"/>
      <c r="CI1449" s="8"/>
      <c r="CJ1449" s="8"/>
      <c r="CK1449" s="8"/>
      <c r="CL1449" s="8"/>
      <c r="CM1449" s="8"/>
      <c r="CN1449" s="8"/>
      <c r="CO1449" s="8"/>
      <c r="CP1449" s="8"/>
      <c r="CQ1449" s="8"/>
      <c r="CR1449" s="8"/>
      <c r="CS1449" s="8"/>
      <c r="CT1449" s="8"/>
      <c r="CU1449" s="8"/>
      <c r="CV1449" s="8"/>
      <c r="CW1449" s="8"/>
      <c r="CX1449" s="8"/>
      <c r="CY1449" s="8"/>
      <c r="CZ1449" s="8"/>
      <c r="DA1449" s="8"/>
      <c r="DB1449" s="8"/>
      <c r="DC1449" s="8"/>
      <c r="DD1449" s="8"/>
      <c r="DE1449" s="8"/>
      <c r="DF1449" s="8"/>
      <c r="DG1449" s="8"/>
      <c r="DH1449" s="8"/>
      <c r="DI1449" s="8"/>
      <c r="DJ1449" s="8"/>
      <c r="DK1449" s="8"/>
      <c r="DL1449" s="8"/>
      <c r="DM1449" s="8"/>
      <c r="DN1449" s="8"/>
      <c r="DO1449" s="8"/>
      <c r="DP1449" s="8"/>
      <c r="DQ1449" s="8"/>
      <c r="DR1449" s="8"/>
      <c r="DS1449" s="8"/>
      <c r="DT1449" s="8"/>
      <c r="DU1449" s="8"/>
      <c r="DV1449" s="8"/>
      <c r="DW1449" s="8"/>
      <c r="DX1449" s="8"/>
      <c r="DY1449" s="8"/>
      <c r="DZ1449" s="8"/>
      <c r="EA1449" s="8"/>
      <c r="EB1449" s="8"/>
      <c r="EC1449" s="8"/>
      <c r="ED1449" s="8"/>
      <c r="EE1449" s="8"/>
      <c r="EF1449" s="8"/>
      <c r="EG1449" s="8"/>
      <c r="EH1449" s="8"/>
      <c r="EI1449" s="8"/>
      <c r="EJ1449" s="8"/>
      <c r="EK1449" s="8"/>
      <c r="EL1449" s="8"/>
      <c r="EM1449" s="8"/>
      <c r="EN1449" s="8"/>
      <c r="EO1449" s="8"/>
      <c r="EP1449" s="8"/>
      <c r="EQ1449" s="8"/>
      <c r="ER1449" s="8"/>
      <c r="ES1449" s="8"/>
      <c r="ET1449" s="8"/>
      <c r="EU1449" s="8"/>
      <c r="EV1449" s="8"/>
      <c r="EW1449" s="8"/>
      <c r="EX1449" s="8"/>
      <c r="EY1449" s="8"/>
      <c r="EZ1449" s="8"/>
      <c r="FA1449" s="8"/>
      <c r="FB1449" s="8"/>
      <c r="FC1449" s="8"/>
      <c r="FD1449" s="8"/>
      <c r="FE1449" s="8"/>
      <c r="FF1449" s="8"/>
      <c r="FG1449" s="8"/>
      <c r="FH1449" s="8"/>
      <c r="FI1449" s="8"/>
      <c r="FJ1449" s="8"/>
      <c r="FK1449" s="8"/>
      <c r="FL1449" s="8"/>
      <c r="FM1449" s="8"/>
      <c r="FN1449" s="8"/>
      <c r="FO1449" s="8"/>
      <c r="FP1449" s="8"/>
      <c r="FQ1449" s="8"/>
      <c r="FR1449" s="8"/>
      <c r="FS1449" s="8"/>
      <c r="FT1449" s="8"/>
      <c r="FU1449" s="8"/>
      <c r="FV1449" s="8"/>
      <c r="FW1449" s="8"/>
      <c r="FX1449" s="8"/>
      <c r="FY1449" s="8"/>
      <c r="FZ1449" s="8"/>
      <c r="GA1449" s="8"/>
      <c r="GB1449" s="8"/>
      <c r="GC1449" s="8"/>
      <c r="GD1449" s="8"/>
      <c r="GE1449" s="8"/>
      <c r="GF1449" s="8"/>
      <c r="GG1449" s="8"/>
      <c r="GH1449" s="8"/>
      <c r="GI1449" s="8"/>
      <c r="GJ1449" s="8"/>
      <c r="GK1449" s="8"/>
      <c r="GL1449" s="8"/>
      <c r="GM1449" s="8"/>
      <c r="GN1449" s="8"/>
      <c r="GO1449" s="8"/>
      <c r="GP1449" s="8"/>
      <c r="GQ1449" s="8"/>
      <c r="GR1449" s="8"/>
      <c r="GS1449" s="8"/>
      <c r="GT1449" s="8"/>
      <c r="GU1449" s="8"/>
      <c r="GV1449" s="8"/>
      <c r="GW1449" s="8"/>
      <c r="GX1449" s="8"/>
      <c r="GY1449" s="8"/>
      <c r="GZ1449" s="8"/>
      <c r="HA1449" s="8"/>
      <c r="HB1449" s="8"/>
      <c r="HC1449" s="8"/>
      <c r="HD1449" s="8"/>
      <c r="HE1449" s="8"/>
      <c r="HF1449" s="8"/>
      <c r="HG1449" s="8"/>
      <c r="HH1449" s="8"/>
      <c r="HI1449" s="8"/>
      <c r="HJ1449" s="8"/>
      <c r="HK1449" s="8"/>
      <c r="HL1449" s="8"/>
      <c r="HM1449" s="8"/>
      <c r="HN1449" s="8"/>
      <c r="HO1449" s="8"/>
      <c r="HP1449" s="8"/>
      <c r="HQ1449" s="8"/>
      <c r="HR1449" s="8"/>
      <c r="HS1449" s="8"/>
      <c r="HT1449" s="8"/>
      <c r="HU1449" s="8"/>
      <c r="HV1449" s="8"/>
      <c r="HW1449" s="8"/>
      <c r="HX1449" s="8"/>
      <c r="HY1449" s="8"/>
      <c r="HZ1449" s="8"/>
      <c r="IA1449" s="8"/>
      <c r="IB1449" s="8"/>
      <c r="IC1449" s="8"/>
      <c r="ID1449" s="8"/>
      <c r="IE1449" s="8"/>
      <c r="IF1449" s="8"/>
    </row>
    <row r="1450" spans="1:240">
      <c r="A1450" s="14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3"/>
      <c r="AB1450" s="23"/>
      <c r="AC1450" s="23"/>
      <c r="AD1450" s="23"/>
      <c r="AE1450" s="23"/>
      <c r="AF1450" s="23"/>
      <c r="AG1450" s="23"/>
      <c r="AH1450" s="23"/>
      <c r="AI1450" s="23"/>
      <c r="AJ1450" s="23"/>
      <c r="AK1450" s="23"/>
      <c r="AL1450" s="23"/>
      <c r="AM1450" s="23"/>
      <c r="AN1450" s="23"/>
      <c r="AO1450" s="8"/>
      <c r="AP1450" s="8"/>
      <c r="AQ1450" s="8"/>
      <c r="AR1450" s="8"/>
      <c r="AS1450" s="8"/>
      <c r="AT1450" s="8"/>
      <c r="AU1450" s="8"/>
      <c r="AV1450" s="8"/>
      <c r="AW1450" s="8"/>
      <c r="AX1450" s="8"/>
      <c r="AY1450" s="8"/>
      <c r="AZ1450" s="8"/>
      <c r="BA1450" s="8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8"/>
      <c r="BS1450" s="8"/>
      <c r="BT1450" s="8"/>
      <c r="BU1450" s="8"/>
      <c r="BV1450" s="8"/>
      <c r="BW1450" s="8"/>
      <c r="BX1450" s="8"/>
      <c r="BY1450" s="8"/>
      <c r="BZ1450" s="8"/>
      <c r="CA1450" s="8"/>
      <c r="CB1450" s="8"/>
      <c r="CC1450" s="8"/>
      <c r="CD1450" s="8"/>
      <c r="CE1450" s="8"/>
      <c r="CF1450" s="8"/>
      <c r="CG1450" s="8"/>
      <c r="CH1450" s="8"/>
      <c r="CI1450" s="8"/>
      <c r="CJ1450" s="8"/>
      <c r="CK1450" s="8"/>
      <c r="CL1450" s="8"/>
      <c r="CM1450" s="8"/>
      <c r="CN1450" s="8"/>
      <c r="CO1450" s="8"/>
      <c r="CP1450" s="8"/>
      <c r="CQ1450" s="8"/>
      <c r="CR1450" s="8"/>
      <c r="CS1450" s="8"/>
      <c r="CT1450" s="8"/>
      <c r="CU1450" s="8"/>
      <c r="CV1450" s="8"/>
      <c r="CW1450" s="8"/>
      <c r="CX1450" s="8"/>
      <c r="CY1450" s="8"/>
      <c r="CZ1450" s="8"/>
      <c r="DA1450" s="8"/>
      <c r="DB1450" s="8"/>
      <c r="DC1450" s="8"/>
      <c r="DD1450" s="8"/>
      <c r="DE1450" s="8"/>
      <c r="DF1450" s="8"/>
      <c r="DG1450" s="8"/>
      <c r="DH1450" s="8"/>
      <c r="DI1450" s="8"/>
      <c r="DJ1450" s="8"/>
      <c r="DK1450" s="8"/>
      <c r="DL1450" s="8"/>
      <c r="DM1450" s="8"/>
      <c r="DN1450" s="8"/>
      <c r="DO1450" s="8"/>
      <c r="DP1450" s="8"/>
      <c r="DQ1450" s="8"/>
      <c r="DR1450" s="8"/>
      <c r="DS1450" s="8"/>
      <c r="DT1450" s="8"/>
      <c r="DU1450" s="8"/>
      <c r="DV1450" s="8"/>
      <c r="DW1450" s="8"/>
      <c r="DX1450" s="8"/>
      <c r="DY1450" s="8"/>
      <c r="DZ1450" s="8"/>
      <c r="EA1450" s="8"/>
      <c r="EB1450" s="8"/>
      <c r="EC1450" s="8"/>
      <c r="ED1450" s="8"/>
      <c r="EE1450" s="8"/>
      <c r="EF1450" s="8"/>
      <c r="EG1450" s="8"/>
      <c r="EH1450" s="8"/>
      <c r="EI1450" s="8"/>
      <c r="EJ1450" s="8"/>
      <c r="EK1450" s="8"/>
      <c r="EL1450" s="8"/>
      <c r="EM1450" s="8"/>
      <c r="EN1450" s="8"/>
      <c r="EO1450" s="8"/>
      <c r="EP1450" s="8"/>
      <c r="EQ1450" s="8"/>
      <c r="ER1450" s="8"/>
      <c r="ES1450" s="8"/>
      <c r="ET1450" s="8"/>
      <c r="EU1450" s="8"/>
      <c r="EV1450" s="8"/>
      <c r="EW1450" s="8"/>
      <c r="EX1450" s="8"/>
      <c r="EY1450" s="8"/>
      <c r="EZ1450" s="8"/>
      <c r="FA1450" s="8"/>
      <c r="FB1450" s="8"/>
      <c r="FC1450" s="8"/>
      <c r="FD1450" s="8"/>
      <c r="FE1450" s="8"/>
      <c r="FF1450" s="8"/>
      <c r="FG1450" s="8"/>
      <c r="FH1450" s="8"/>
      <c r="FI1450" s="8"/>
      <c r="FJ1450" s="8"/>
      <c r="FK1450" s="8"/>
      <c r="FL1450" s="8"/>
      <c r="FM1450" s="8"/>
      <c r="FN1450" s="8"/>
      <c r="FO1450" s="8"/>
      <c r="FP1450" s="8"/>
      <c r="FQ1450" s="8"/>
      <c r="FR1450" s="8"/>
      <c r="FS1450" s="8"/>
      <c r="FT1450" s="8"/>
      <c r="FU1450" s="8"/>
      <c r="FV1450" s="8"/>
      <c r="FW1450" s="8"/>
      <c r="FX1450" s="8"/>
      <c r="FY1450" s="8"/>
      <c r="FZ1450" s="8"/>
      <c r="GA1450" s="8"/>
      <c r="GB1450" s="8"/>
      <c r="GC1450" s="8"/>
      <c r="GD1450" s="8"/>
      <c r="GE1450" s="8"/>
      <c r="GF1450" s="8"/>
      <c r="GG1450" s="8"/>
      <c r="GH1450" s="8"/>
      <c r="GI1450" s="8"/>
      <c r="GJ1450" s="8"/>
      <c r="GK1450" s="8"/>
      <c r="GL1450" s="8"/>
      <c r="GM1450" s="8"/>
      <c r="GN1450" s="8"/>
      <c r="GO1450" s="8"/>
      <c r="GP1450" s="8"/>
      <c r="GQ1450" s="8"/>
      <c r="GR1450" s="8"/>
      <c r="GS1450" s="8"/>
      <c r="GT1450" s="8"/>
      <c r="GU1450" s="8"/>
      <c r="GV1450" s="8"/>
      <c r="GW1450" s="8"/>
      <c r="GX1450" s="8"/>
      <c r="GY1450" s="8"/>
      <c r="GZ1450" s="8"/>
      <c r="HA1450" s="8"/>
      <c r="HB1450" s="8"/>
      <c r="HC1450" s="8"/>
      <c r="HD1450" s="8"/>
      <c r="HE1450" s="8"/>
      <c r="HF1450" s="8"/>
      <c r="HG1450" s="8"/>
      <c r="HH1450" s="8"/>
      <c r="HI1450" s="8"/>
      <c r="HJ1450" s="8"/>
      <c r="HK1450" s="8"/>
      <c r="HL1450" s="8"/>
      <c r="HM1450" s="8"/>
      <c r="HN1450" s="8"/>
      <c r="HO1450" s="8"/>
      <c r="HP1450" s="8"/>
      <c r="HQ1450" s="8"/>
      <c r="HR1450" s="8"/>
      <c r="HS1450" s="8"/>
      <c r="HT1450" s="8"/>
      <c r="HU1450" s="8"/>
      <c r="HV1450" s="8"/>
      <c r="HW1450" s="8"/>
      <c r="HX1450" s="8"/>
      <c r="HY1450" s="8"/>
      <c r="HZ1450" s="8"/>
      <c r="IA1450" s="8"/>
      <c r="IB1450" s="8"/>
      <c r="IC1450" s="8"/>
      <c r="ID1450" s="8"/>
      <c r="IE1450" s="8"/>
      <c r="IF1450" s="8"/>
    </row>
    <row r="1451" spans="1:240">
      <c r="A1451" s="14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  <c r="AC1451" s="23"/>
      <c r="AD1451" s="23"/>
      <c r="AE1451" s="23"/>
      <c r="AF1451" s="23"/>
      <c r="AG1451" s="23"/>
      <c r="AH1451" s="23"/>
      <c r="AI1451" s="23"/>
      <c r="AJ1451" s="23"/>
      <c r="AK1451" s="23"/>
      <c r="AL1451" s="23"/>
      <c r="AM1451" s="23"/>
      <c r="AN1451" s="23"/>
      <c r="AO1451" s="8"/>
      <c r="AP1451" s="8"/>
      <c r="AQ1451" s="8"/>
      <c r="AR1451" s="8"/>
      <c r="AS1451" s="8"/>
      <c r="AT1451" s="8"/>
      <c r="AU1451" s="8"/>
      <c r="AV1451" s="8"/>
      <c r="AW1451" s="8"/>
      <c r="AX1451" s="8"/>
      <c r="AY1451" s="8"/>
      <c r="AZ1451" s="8"/>
      <c r="BA1451" s="8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8"/>
      <c r="BS1451" s="8"/>
      <c r="BT1451" s="8"/>
      <c r="BU1451" s="8"/>
      <c r="BV1451" s="8"/>
      <c r="BW1451" s="8"/>
      <c r="BX1451" s="8"/>
      <c r="BY1451" s="8"/>
      <c r="BZ1451" s="8"/>
      <c r="CA1451" s="8"/>
      <c r="CB1451" s="8"/>
      <c r="CC1451" s="8"/>
      <c r="CD1451" s="8"/>
      <c r="CE1451" s="8"/>
      <c r="CF1451" s="8"/>
      <c r="CG1451" s="8"/>
      <c r="CH1451" s="8"/>
      <c r="CI1451" s="8"/>
      <c r="CJ1451" s="8"/>
      <c r="CK1451" s="8"/>
      <c r="CL1451" s="8"/>
      <c r="CM1451" s="8"/>
      <c r="CN1451" s="8"/>
      <c r="CO1451" s="8"/>
      <c r="CP1451" s="8"/>
      <c r="CQ1451" s="8"/>
      <c r="CR1451" s="8"/>
      <c r="CS1451" s="8"/>
      <c r="CT1451" s="8"/>
      <c r="CU1451" s="8"/>
      <c r="CV1451" s="8"/>
      <c r="CW1451" s="8"/>
      <c r="CX1451" s="8"/>
      <c r="CY1451" s="8"/>
      <c r="CZ1451" s="8"/>
      <c r="DA1451" s="8"/>
      <c r="DB1451" s="8"/>
      <c r="DC1451" s="8"/>
      <c r="DD1451" s="8"/>
      <c r="DE1451" s="8"/>
      <c r="DF1451" s="8"/>
      <c r="DG1451" s="8"/>
      <c r="DH1451" s="8"/>
      <c r="DI1451" s="8"/>
      <c r="DJ1451" s="8"/>
      <c r="DK1451" s="8"/>
      <c r="DL1451" s="8"/>
      <c r="DM1451" s="8"/>
      <c r="DN1451" s="8"/>
      <c r="DO1451" s="8"/>
      <c r="DP1451" s="8"/>
      <c r="DQ1451" s="8"/>
      <c r="DR1451" s="8"/>
      <c r="DS1451" s="8"/>
      <c r="DT1451" s="8"/>
      <c r="DU1451" s="8"/>
      <c r="DV1451" s="8"/>
      <c r="DW1451" s="8"/>
      <c r="DX1451" s="8"/>
      <c r="DY1451" s="8"/>
      <c r="DZ1451" s="8"/>
      <c r="EA1451" s="8"/>
      <c r="EB1451" s="8"/>
      <c r="EC1451" s="8"/>
      <c r="ED1451" s="8"/>
      <c r="EE1451" s="8"/>
      <c r="EF1451" s="8"/>
      <c r="EG1451" s="8"/>
      <c r="EH1451" s="8"/>
      <c r="EI1451" s="8"/>
      <c r="EJ1451" s="8"/>
      <c r="EK1451" s="8"/>
      <c r="EL1451" s="8"/>
      <c r="EM1451" s="8"/>
      <c r="EN1451" s="8"/>
      <c r="EO1451" s="8"/>
      <c r="EP1451" s="8"/>
      <c r="EQ1451" s="8"/>
      <c r="ER1451" s="8"/>
      <c r="ES1451" s="8"/>
      <c r="ET1451" s="8"/>
      <c r="EU1451" s="8"/>
      <c r="EV1451" s="8"/>
      <c r="EW1451" s="8"/>
      <c r="EX1451" s="8"/>
      <c r="EY1451" s="8"/>
      <c r="EZ1451" s="8"/>
      <c r="FA1451" s="8"/>
      <c r="FB1451" s="8"/>
      <c r="FC1451" s="8"/>
      <c r="FD1451" s="8"/>
      <c r="FE1451" s="8"/>
      <c r="FF1451" s="8"/>
      <c r="FG1451" s="8"/>
      <c r="FH1451" s="8"/>
      <c r="FI1451" s="8"/>
      <c r="FJ1451" s="8"/>
      <c r="FK1451" s="8"/>
      <c r="FL1451" s="8"/>
      <c r="FM1451" s="8"/>
      <c r="FN1451" s="8"/>
      <c r="FO1451" s="8"/>
      <c r="FP1451" s="8"/>
      <c r="FQ1451" s="8"/>
      <c r="FR1451" s="8"/>
      <c r="FS1451" s="8"/>
      <c r="FT1451" s="8"/>
      <c r="FU1451" s="8"/>
      <c r="FV1451" s="8"/>
      <c r="FW1451" s="8"/>
      <c r="FX1451" s="8"/>
      <c r="FY1451" s="8"/>
      <c r="FZ1451" s="8"/>
      <c r="GA1451" s="8"/>
      <c r="GB1451" s="8"/>
      <c r="GC1451" s="8"/>
      <c r="GD1451" s="8"/>
      <c r="GE1451" s="8"/>
      <c r="GF1451" s="8"/>
      <c r="GG1451" s="8"/>
      <c r="GH1451" s="8"/>
      <c r="GI1451" s="8"/>
      <c r="GJ1451" s="8"/>
      <c r="GK1451" s="8"/>
      <c r="GL1451" s="8"/>
      <c r="GM1451" s="8"/>
      <c r="GN1451" s="8"/>
      <c r="GO1451" s="8"/>
      <c r="GP1451" s="8"/>
      <c r="GQ1451" s="8"/>
      <c r="GR1451" s="8"/>
      <c r="GS1451" s="8"/>
      <c r="GT1451" s="8"/>
      <c r="GU1451" s="8"/>
      <c r="GV1451" s="8"/>
      <c r="GW1451" s="8"/>
      <c r="GX1451" s="8"/>
      <c r="GY1451" s="8"/>
      <c r="GZ1451" s="8"/>
      <c r="HA1451" s="8"/>
      <c r="HB1451" s="8"/>
      <c r="HC1451" s="8"/>
      <c r="HD1451" s="8"/>
      <c r="HE1451" s="8"/>
      <c r="HF1451" s="8"/>
      <c r="HG1451" s="8"/>
      <c r="HH1451" s="8"/>
      <c r="HI1451" s="8"/>
      <c r="HJ1451" s="8"/>
      <c r="HK1451" s="8"/>
      <c r="HL1451" s="8"/>
      <c r="HM1451" s="8"/>
      <c r="HN1451" s="8"/>
      <c r="HO1451" s="8"/>
      <c r="HP1451" s="8"/>
      <c r="HQ1451" s="8"/>
      <c r="HR1451" s="8"/>
      <c r="HS1451" s="8"/>
      <c r="HT1451" s="8"/>
      <c r="HU1451" s="8"/>
      <c r="HV1451" s="8"/>
      <c r="HW1451" s="8"/>
      <c r="HX1451" s="8"/>
      <c r="HY1451" s="8"/>
      <c r="HZ1451" s="8"/>
      <c r="IA1451" s="8"/>
      <c r="IB1451" s="8"/>
      <c r="IC1451" s="8"/>
      <c r="ID1451" s="8"/>
      <c r="IE1451" s="8"/>
      <c r="IF1451" s="8"/>
    </row>
    <row r="1452" spans="1:240">
      <c r="A1452" s="14"/>
      <c r="B1452" s="23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3"/>
      <c r="AB1452" s="23"/>
      <c r="AC1452" s="23"/>
      <c r="AD1452" s="23"/>
      <c r="AE1452" s="23"/>
      <c r="AF1452" s="23"/>
      <c r="AG1452" s="23"/>
      <c r="AH1452" s="23"/>
      <c r="AI1452" s="23"/>
      <c r="AJ1452" s="23"/>
      <c r="AK1452" s="23"/>
      <c r="AL1452" s="23"/>
      <c r="AM1452" s="23"/>
      <c r="AN1452" s="23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8"/>
      <c r="BS1452" s="8"/>
      <c r="BT1452" s="8"/>
      <c r="BU1452" s="8"/>
      <c r="BV1452" s="8"/>
      <c r="BW1452" s="8"/>
      <c r="BX1452" s="8"/>
      <c r="BY1452" s="8"/>
      <c r="BZ1452" s="8"/>
      <c r="CA1452" s="8"/>
      <c r="CB1452" s="8"/>
      <c r="CC1452" s="8"/>
      <c r="CD1452" s="8"/>
      <c r="CE1452" s="8"/>
      <c r="CF1452" s="8"/>
      <c r="CG1452" s="8"/>
      <c r="CH1452" s="8"/>
      <c r="CI1452" s="8"/>
      <c r="CJ1452" s="8"/>
      <c r="CK1452" s="8"/>
      <c r="CL1452" s="8"/>
      <c r="CM1452" s="8"/>
      <c r="CN1452" s="8"/>
      <c r="CO1452" s="8"/>
      <c r="CP1452" s="8"/>
      <c r="CQ1452" s="8"/>
      <c r="CR1452" s="8"/>
      <c r="CS1452" s="8"/>
      <c r="CT1452" s="8"/>
      <c r="CU1452" s="8"/>
      <c r="CV1452" s="8"/>
      <c r="CW1452" s="8"/>
      <c r="CX1452" s="8"/>
      <c r="CY1452" s="8"/>
      <c r="CZ1452" s="8"/>
      <c r="DA1452" s="8"/>
      <c r="DB1452" s="8"/>
      <c r="DC1452" s="8"/>
      <c r="DD1452" s="8"/>
      <c r="DE1452" s="8"/>
      <c r="DF1452" s="8"/>
      <c r="DG1452" s="8"/>
      <c r="DH1452" s="8"/>
      <c r="DI1452" s="8"/>
      <c r="DJ1452" s="8"/>
      <c r="DK1452" s="8"/>
      <c r="DL1452" s="8"/>
      <c r="DM1452" s="8"/>
      <c r="DN1452" s="8"/>
      <c r="DO1452" s="8"/>
      <c r="DP1452" s="8"/>
      <c r="DQ1452" s="8"/>
      <c r="DR1452" s="8"/>
      <c r="DS1452" s="8"/>
      <c r="DT1452" s="8"/>
      <c r="DU1452" s="8"/>
      <c r="DV1452" s="8"/>
      <c r="DW1452" s="8"/>
      <c r="DX1452" s="8"/>
      <c r="DY1452" s="8"/>
      <c r="DZ1452" s="8"/>
      <c r="EA1452" s="8"/>
      <c r="EB1452" s="8"/>
      <c r="EC1452" s="8"/>
      <c r="ED1452" s="8"/>
      <c r="EE1452" s="8"/>
      <c r="EF1452" s="8"/>
      <c r="EG1452" s="8"/>
      <c r="EH1452" s="8"/>
      <c r="EI1452" s="8"/>
      <c r="EJ1452" s="8"/>
      <c r="EK1452" s="8"/>
      <c r="EL1452" s="8"/>
      <c r="EM1452" s="8"/>
      <c r="EN1452" s="8"/>
      <c r="EO1452" s="8"/>
      <c r="EP1452" s="8"/>
      <c r="EQ1452" s="8"/>
      <c r="ER1452" s="8"/>
      <c r="ES1452" s="8"/>
      <c r="ET1452" s="8"/>
      <c r="EU1452" s="8"/>
      <c r="EV1452" s="8"/>
      <c r="EW1452" s="8"/>
      <c r="EX1452" s="8"/>
      <c r="EY1452" s="8"/>
      <c r="EZ1452" s="8"/>
      <c r="FA1452" s="8"/>
      <c r="FB1452" s="8"/>
      <c r="FC1452" s="8"/>
      <c r="FD1452" s="8"/>
      <c r="FE1452" s="8"/>
      <c r="FF1452" s="8"/>
      <c r="FG1452" s="8"/>
      <c r="FH1452" s="8"/>
      <c r="FI1452" s="8"/>
      <c r="FJ1452" s="8"/>
      <c r="FK1452" s="8"/>
      <c r="FL1452" s="8"/>
      <c r="FM1452" s="8"/>
      <c r="FN1452" s="8"/>
      <c r="FO1452" s="8"/>
      <c r="FP1452" s="8"/>
      <c r="FQ1452" s="8"/>
      <c r="FR1452" s="8"/>
      <c r="FS1452" s="8"/>
      <c r="FT1452" s="8"/>
      <c r="FU1452" s="8"/>
      <c r="FV1452" s="8"/>
      <c r="FW1452" s="8"/>
      <c r="FX1452" s="8"/>
      <c r="FY1452" s="8"/>
      <c r="FZ1452" s="8"/>
      <c r="GA1452" s="8"/>
      <c r="GB1452" s="8"/>
      <c r="GC1452" s="8"/>
      <c r="GD1452" s="8"/>
      <c r="GE1452" s="8"/>
      <c r="GF1452" s="8"/>
      <c r="GG1452" s="8"/>
      <c r="GH1452" s="8"/>
      <c r="GI1452" s="8"/>
      <c r="GJ1452" s="8"/>
      <c r="GK1452" s="8"/>
      <c r="GL1452" s="8"/>
      <c r="GM1452" s="8"/>
      <c r="GN1452" s="8"/>
      <c r="GO1452" s="8"/>
      <c r="GP1452" s="8"/>
      <c r="GQ1452" s="8"/>
      <c r="GR1452" s="8"/>
      <c r="GS1452" s="8"/>
      <c r="GT1452" s="8"/>
      <c r="GU1452" s="8"/>
      <c r="GV1452" s="8"/>
      <c r="GW1452" s="8"/>
      <c r="GX1452" s="8"/>
      <c r="GY1452" s="8"/>
      <c r="GZ1452" s="8"/>
      <c r="HA1452" s="8"/>
      <c r="HB1452" s="8"/>
      <c r="HC1452" s="8"/>
      <c r="HD1452" s="8"/>
      <c r="HE1452" s="8"/>
      <c r="HF1452" s="8"/>
      <c r="HG1452" s="8"/>
      <c r="HH1452" s="8"/>
      <c r="HI1452" s="8"/>
      <c r="HJ1452" s="8"/>
      <c r="HK1452" s="8"/>
      <c r="HL1452" s="8"/>
      <c r="HM1452" s="8"/>
      <c r="HN1452" s="8"/>
      <c r="HO1452" s="8"/>
      <c r="HP1452" s="8"/>
      <c r="HQ1452" s="8"/>
      <c r="HR1452" s="8"/>
      <c r="HS1452" s="8"/>
      <c r="HT1452" s="8"/>
      <c r="HU1452" s="8"/>
      <c r="HV1452" s="8"/>
      <c r="HW1452" s="8"/>
      <c r="HX1452" s="8"/>
      <c r="HY1452" s="8"/>
      <c r="HZ1452" s="8"/>
      <c r="IA1452" s="8"/>
      <c r="IB1452" s="8"/>
      <c r="IC1452" s="8"/>
      <c r="ID1452" s="8"/>
      <c r="IE1452" s="8"/>
      <c r="IF1452" s="8"/>
    </row>
    <row r="1453" spans="1:240">
      <c r="A1453" s="14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3"/>
      <c r="AB1453" s="23"/>
      <c r="AC1453" s="23"/>
      <c r="AD1453" s="23"/>
      <c r="AE1453" s="23"/>
      <c r="AF1453" s="23"/>
      <c r="AG1453" s="23"/>
      <c r="AH1453" s="23"/>
      <c r="AI1453" s="23"/>
      <c r="AJ1453" s="23"/>
      <c r="AK1453" s="23"/>
      <c r="AL1453" s="23"/>
      <c r="AM1453" s="23"/>
      <c r="AN1453" s="23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8"/>
      <c r="BS1453" s="8"/>
      <c r="BT1453" s="8"/>
      <c r="BU1453" s="8"/>
      <c r="BV1453" s="8"/>
      <c r="BW1453" s="8"/>
      <c r="BX1453" s="8"/>
      <c r="BY1453" s="8"/>
      <c r="BZ1453" s="8"/>
      <c r="CA1453" s="8"/>
      <c r="CB1453" s="8"/>
      <c r="CC1453" s="8"/>
      <c r="CD1453" s="8"/>
      <c r="CE1453" s="8"/>
      <c r="CF1453" s="8"/>
      <c r="CG1453" s="8"/>
      <c r="CH1453" s="8"/>
      <c r="CI1453" s="8"/>
      <c r="CJ1453" s="8"/>
      <c r="CK1453" s="8"/>
      <c r="CL1453" s="8"/>
      <c r="CM1453" s="8"/>
      <c r="CN1453" s="8"/>
      <c r="CO1453" s="8"/>
      <c r="CP1453" s="8"/>
      <c r="CQ1453" s="8"/>
      <c r="CR1453" s="8"/>
      <c r="CS1453" s="8"/>
      <c r="CT1453" s="8"/>
      <c r="CU1453" s="8"/>
      <c r="CV1453" s="8"/>
      <c r="CW1453" s="8"/>
      <c r="CX1453" s="8"/>
      <c r="CY1453" s="8"/>
      <c r="CZ1453" s="8"/>
      <c r="DA1453" s="8"/>
      <c r="DB1453" s="8"/>
      <c r="DC1453" s="8"/>
      <c r="DD1453" s="8"/>
      <c r="DE1453" s="8"/>
      <c r="DF1453" s="8"/>
      <c r="DG1453" s="8"/>
      <c r="DH1453" s="8"/>
      <c r="DI1453" s="8"/>
      <c r="DJ1453" s="8"/>
      <c r="DK1453" s="8"/>
      <c r="DL1453" s="8"/>
      <c r="DM1453" s="8"/>
      <c r="DN1453" s="8"/>
      <c r="DO1453" s="8"/>
      <c r="DP1453" s="8"/>
      <c r="DQ1453" s="8"/>
      <c r="DR1453" s="8"/>
      <c r="DS1453" s="8"/>
      <c r="DT1453" s="8"/>
      <c r="DU1453" s="8"/>
      <c r="DV1453" s="8"/>
      <c r="DW1453" s="8"/>
      <c r="DX1453" s="8"/>
      <c r="DY1453" s="8"/>
      <c r="DZ1453" s="8"/>
      <c r="EA1453" s="8"/>
      <c r="EB1453" s="8"/>
      <c r="EC1453" s="8"/>
      <c r="ED1453" s="8"/>
      <c r="EE1453" s="8"/>
      <c r="EF1453" s="8"/>
      <c r="EG1453" s="8"/>
      <c r="EH1453" s="8"/>
      <c r="EI1453" s="8"/>
      <c r="EJ1453" s="8"/>
      <c r="EK1453" s="8"/>
      <c r="EL1453" s="8"/>
      <c r="EM1453" s="8"/>
      <c r="EN1453" s="8"/>
      <c r="EO1453" s="8"/>
      <c r="EP1453" s="8"/>
      <c r="EQ1453" s="8"/>
      <c r="ER1453" s="8"/>
      <c r="ES1453" s="8"/>
      <c r="ET1453" s="8"/>
      <c r="EU1453" s="8"/>
      <c r="EV1453" s="8"/>
      <c r="EW1453" s="8"/>
      <c r="EX1453" s="8"/>
      <c r="EY1453" s="8"/>
      <c r="EZ1453" s="8"/>
      <c r="FA1453" s="8"/>
      <c r="FB1453" s="8"/>
      <c r="FC1453" s="8"/>
      <c r="FD1453" s="8"/>
      <c r="FE1453" s="8"/>
      <c r="FF1453" s="8"/>
      <c r="FG1453" s="8"/>
      <c r="FH1453" s="8"/>
      <c r="FI1453" s="8"/>
      <c r="FJ1453" s="8"/>
      <c r="FK1453" s="8"/>
      <c r="FL1453" s="8"/>
      <c r="FM1453" s="8"/>
      <c r="FN1453" s="8"/>
      <c r="FO1453" s="8"/>
      <c r="FP1453" s="8"/>
      <c r="FQ1453" s="8"/>
      <c r="FR1453" s="8"/>
      <c r="FS1453" s="8"/>
      <c r="FT1453" s="8"/>
      <c r="FU1453" s="8"/>
      <c r="FV1453" s="8"/>
      <c r="FW1453" s="8"/>
      <c r="FX1453" s="8"/>
      <c r="FY1453" s="8"/>
      <c r="FZ1453" s="8"/>
      <c r="GA1453" s="8"/>
      <c r="GB1453" s="8"/>
      <c r="GC1453" s="8"/>
      <c r="GD1453" s="8"/>
      <c r="GE1453" s="8"/>
      <c r="GF1453" s="8"/>
      <c r="GG1453" s="8"/>
      <c r="GH1453" s="8"/>
      <c r="GI1453" s="8"/>
      <c r="GJ1453" s="8"/>
      <c r="GK1453" s="8"/>
      <c r="GL1453" s="8"/>
      <c r="GM1453" s="8"/>
      <c r="GN1453" s="8"/>
      <c r="GO1453" s="8"/>
      <c r="GP1453" s="8"/>
      <c r="GQ1453" s="8"/>
      <c r="GR1453" s="8"/>
      <c r="GS1453" s="8"/>
      <c r="GT1453" s="8"/>
      <c r="GU1453" s="8"/>
      <c r="GV1453" s="8"/>
      <c r="GW1453" s="8"/>
      <c r="GX1453" s="8"/>
      <c r="GY1453" s="8"/>
      <c r="GZ1453" s="8"/>
      <c r="HA1453" s="8"/>
      <c r="HB1453" s="8"/>
      <c r="HC1453" s="8"/>
      <c r="HD1453" s="8"/>
      <c r="HE1453" s="8"/>
      <c r="HF1453" s="8"/>
      <c r="HG1453" s="8"/>
      <c r="HH1453" s="8"/>
      <c r="HI1453" s="8"/>
      <c r="HJ1453" s="8"/>
      <c r="HK1453" s="8"/>
      <c r="HL1453" s="8"/>
      <c r="HM1453" s="8"/>
      <c r="HN1453" s="8"/>
      <c r="HO1453" s="8"/>
      <c r="HP1453" s="8"/>
      <c r="HQ1453" s="8"/>
      <c r="HR1453" s="8"/>
      <c r="HS1453" s="8"/>
      <c r="HT1453" s="8"/>
      <c r="HU1453" s="8"/>
      <c r="HV1453" s="8"/>
      <c r="HW1453" s="8"/>
      <c r="HX1453" s="8"/>
      <c r="HY1453" s="8"/>
      <c r="HZ1453" s="8"/>
      <c r="IA1453" s="8"/>
      <c r="IB1453" s="8"/>
      <c r="IC1453" s="8"/>
      <c r="ID1453" s="8"/>
      <c r="IE1453" s="8"/>
      <c r="IF1453" s="8"/>
    </row>
    <row r="1454" spans="1:240">
      <c r="A1454" s="14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  <c r="AJ1454" s="23"/>
      <c r="AK1454" s="23"/>
      <c r="AL1454" s="23"/>
      <c r="AM1454" s="23"/>
      <c r="AN1454" s="23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8"/>
      <c r="BS1454" s="8"/>
      <c r="BT1454" s="8"/>
      <c r="BU1454" s="8"/>
      <c r="BV1454" s="8"/>
      <c r="BW1454" s="8"/>
      <c r="BX1454" s="8"/>
      <c r="BY1454" s="8"/>
      <c r="BZ1454" s="8"/>
      <c r="CA1454" s="8"/>
      <c r="CB1454" s="8"/>
      <c r="CC1454" s="8"/>
      <c r="CD1454" s="8"/>
      <c r="CE1454" s="8"/>
      <c r="CF1454" s="8"/>
      <c r="CG1454" s="8"/>
      <c r="CH1454" s="8"/>
      <c r="CI1454" s="8"/>
      <c r="CJ1454" s="8"/>
      <c r="CK1454" s="8"/>
      <c r="CL1454" s="8"/>
      <c r="CM1454" s="8"/>
      <c r="CN1454" s="8"/>
      <c r="CO1454" s="8"/>
      <c r="CP1454" s="8"/>
      <c r="CQ1454" s="8"/>
      <c r="CR1454" s="8"/>
      <c r="CS1454" s="8"/>
      <c r="CT1454" s="8"/>
      <c r="CU1454" s="8"/>
      <c r="CV1454" s="8"/>
      <c r="CW1454" s="8"/>
      <c r="CX1454" s="8"/>
      <c r="CY1454" s="8"/>
      <c r="CZ1454" s="8"/>
      <c r="DA1454" s="8"/>
      <c r="DB1454" s="8"/>
      <c r="DC1454" s="8"/>
      <c r="DD1454" s="8"/>
      <c r="DE1454" s="8"/>
      <c r="DF1454" s="8"/>
      <c r="DG1454" s="8"/>
      <c r="DH1454" s="8"/>
      <c r="DI1454" s="8"/>
      <c r="DJ1454" s="8"/>
      <c r="DK1454" s="8"/>
      <c r="DL1454" s="8"/>
      <c r="DM1454" s="8"/>
      <c r="DN1454" s="8"/>
      <c r="DO1454" s="8"/>
      <c r="DP1454" s="8"/>
      <c r="DQ1454" s="8"/>
      <c r="DR1454" s="8"/>
      <c r="DS1454" s="8"/>
      <c r="DT1454" s="8"/>
      <c r="DU1454" s="8"/>
      <c r="DV1454" s="8"/>
      <c r="DW1454" s="8"/>
      <c r="DX1454" s="8"/>
      <c r="DY1454" s="8"/>
      <c r="DZ1454" s="8"/>
      <c r="EA1454" s="8"/>
      <c r="EB1454" s="8"/>
      <c r="EC1454" s="8"/>
      <c r="ED1454" s="8"/>
      <c r="EE1454" s="8"/>
      <c r="EF1454" s="8"/>
      <c r="EG1454" s="8"/>
      <c r="EH1454" s="8"/>
      <c r="EI1454" s="8"/>
      <c r="EJ1454" s="8"/>
      <c r="EK1454" s="8"/>
      <c r="EL1454" s="8"/>
      <c r="EM1454" s="8"/>
      <c r="EN1454" s="8"/>
      <c r="EO1454" s="8"/>
      <c r="EP1454" s="8"/>
      <c r="EQ1454" s="8"/>
      <c r="ER1454" s="8"/>
      <c r="ES1454" s="8"/>
      <c r="ET1454" s="8"/>
      <c r="EU1454" s="8"/>
      <c r="EV1454" s="8"/>
      <c r="EW1454" s="8"/>
      <c r="EX1454" s="8"/>
      <c r="EY1454" s="8"/>
      <c r="EZ1454" s="8"/>
      <c r="FA1454" s="8"/>
      <c r="FB1454" s="8"/>
      <c r="FC1454" s="8"/>
      <c r="FD1454" s="8"/>
      <c r="FE1454" s="8"/>
      <c r="FF1454" s="8"/>
      <c r="FG1454" s="8"/>
      <c r="FH1454" s="8"/>
      <c r="FI1454" s="8"/>
      <c r="FJ1454" s="8"/>
      <c r="FK1454" s="8"/>
      <c r="FL1454" s="8"/>
      <c r="FM1454" s="8"/>
      <c r="FN1454" s="8"/>
      <c r="FO1454" s="8"/>
      <c r="FP1454" s="8"/>
      <c r="FQ1454" s="8"/>
      <c r="FR1454" s="8"/>
      <c r="FS1454" s="8"/>
      <c r="FT1454" s="8"/>
      <c r="FU1454" s="8"/>
      <c r="FV1454" s="8"/>
      <c r="FW1454" s="8"/>
      <c r="FX1454" s="8"/>
      <c r="FY1454" s="8"/>
      <c r="FZ1454" s="8"/>
      <c r="GA1454" s="8"/>
      <c r="GB1454" s="8"/>
      <c r="GC1454" s="8"/>
      <c r="GD1454" s="8"/>
      <c r="GE1454" s="8"/>
      <c r="GF1454" s="8"/>
      <c r="GG1454" s="8"/>
      <c r="GH1454" s="8"/>
      <c r="GI1454" s="8"/>
      <c r="GJ1454" s="8"/>
      <c r="GK1454" s="8"/>
      <c r="GL1454" s="8"/>
      <c r="GM1454" s="8"/>
      <c r="GN1454" s="8"/>
      <c r="GO1454" s="8"/>
      <c r="GP1454" s="8"/>
      <c r="GQ1454" s="8"/>
      <c r="GR1454" s="8"/>
      <c r="GS1454" s="8"/>
      <c r="GT1454" s="8"/>
      <c r="GU1454" s="8"/>
      <c r="GV1454" s="8"/>
      <c r="GW1454" s="8"/>
      <c r="GX1454" s="8"/>
      <c r="GY1454" s="8"/>
      <c r="GZ1454" s="8"/>
      <c r="HA1454" s="8"/>
      <c r="HB1454" s="8"/>
      <c r="HC1454" s="8"/>
      <c r="HD1454" s="8"/>
      <c r="HE1454" s="8"/>
      <c r="HF1454" s="8"/>
      <c r="HG1454" s="8"/>
      <c r="HH1454" s="8"/>
      <c r="HI1454" s="8"/>
      <c r="HJ1454" s="8"/>
      <c r="HK1454" s="8"/>
      <c r="HL1454" s="8"/>
      <c r="HM1454" s="8"/>
      <c r="HN1454" s="8"/>
      <c r="HO1454" s="8"/>
      <c r="HP1454" s="8"/>
      <c r="HQ1454" s="8"/>
      <c r="HR1454" s="8"/>
      <c r="HS1454" s="8"/>
      <c r="HT1454" s="8"/>
      <c r="HU1454" s="8"/>
      <c r="HV1454" s="8"/>
      <c r="HW1454" s="8"/>
      <c r="HX1454" s="8"/>
      <c r="HY1454" s="8"/>
      <c r="HZ1454" s="8"/>
      <c r="IA1454" s="8"/>
      <c r="IB1454" s="8"/>
      <c r="IC1454" s="8"/>
      <c r="ID1454" s="8"/>
      <c r="IE1454" s="8"/>
      <c r="IF1454" s="8"/>
    </row>
    <row r="1455" spans="1:240">
      <c r="A1455" s="14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8"/>
      <c r="AP1455" s="8"/>
      <c r="AQ1455" s="8"/>
      <c r="AR1455" s="8"/>
      <c r="AS1455" s="8"/>
      <c r="AT1455" s="8"/>
      <c r="AU1455" s="8"/>
      <c r="AV1455" s="8"/>
      <c r="AW1455" s="8"/>
      <c r="AX1455" s="8"/>
      <c r="AY1455" s="8"/>
      <c r="AZ1455" s="8"/>
      <c r="BA1455" s="8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8"/>
      <c r="BS1455" s="8"/>
      <c r="BT1455" s="8"/>
      <c r="BU1455" s="8"/>
      <c r="BV1455" s="8"/>
      <c r="BW1455" s="8"/>
      <c r="BX1455" s="8"/>
      <c r="BY1455" s="8"/>
      <c r="BZ1455" s="8"/>
      <c r="CA1455" s="8"/>
      <c r="CB1455" s="8"/>
      <c r="CC1455" s="8"/>
      <c r="CD1455" s="8"/>
      <c r="CE1455" s="8"/>
      <c r="CF1455" s="8"/>
      <c r="CG1455" s="8"/>
      <c r="CH1455" s="8"/>
      <c r="CI1455" s="8"/>
      <c r="CJ1455" s="8"/>
      <c r="CK1455" s="8"/>
      <c r="CL1455" s="8"/>
      <c r="CM1455" s="8"/>
      <c r="CN1455" s="8"/>
      <c r="CO1455" s="8"/>
      <c r="CP1455" s="8"/>
      <c r="CQ1455" s="8"/>
      <c r="CR1455" s="8"/>
      <c r="CS1455" s="8"/>
      <c r="CT1455" s="8"/>
      <c r="CU1455" s="8"/>
      <c r="CV1455" s="8"/>
      <c r="CW1455" s="8"/>
      <c r="CX1455" s="8"/>
      <c r="CY1455" s="8"/>
      <c r="CZ1455" s="8"/>
      <c r="DA1455" s="8"/>
      <c r="DB1455" s="8"/>
      <c r="DC1455" s="8"/>
      <c r="DD1455" s="8"/>
      <c r="DE1455" s="8"/>
      <c r="DF1455" s="8"/>
      <c r="DG1455" s="8"/>
      <c r="DH1455" s="8"/>
      <c r="DI1455" s="8"/>
      <c r="DJ1455" s="8"/>
      <c r="DK1455" s="8"/>
      <c r="DL1455" s="8"/>
      <c r="DM1455" s="8"/>
      <c r="DN1455" s="8"/>
      <c r="DO1455" s="8"/>
      <c r="DP1455" s="8"/>
      <c r="DQ1455" s="8"/>
      <c r="DR1455" s="8"/>
      <c r="DS1455" s="8"/>
      <c r="DT1455" s="8"/>
      <c r="DU1455" s="8"/>
      <c r="DV1455" s="8"/>
      <c r="DW1455" s="8"/>
      <c r="DX1455" s="8"/>
      <c r="DY1455" s="8"/>
      <c r="DZ1455" s="8"/>
      <c r="EA1455" s="8"/>
      <c r="EB1455" s="8"/>
      <c r="EC1455" s="8"/>
      <c r="ED1455" s="8"/>
      <c r="EE1455" s="8"/>
      <c r="EF1455" s="8"/>
      <c r="EG1455" s="8"/>
      <c r="EH1455" s="8"/>
      <c r="EI1455" s="8"/>
      <c r="EJ1455" s="8"/>
      <c r="EK1455" s="8"/>
      <c r="EL1455" s="8"/>
      <c r="EM1455" s="8"/>
      <c r="EN1455" s="8"/>
      <c r="EO1455" s="8"/>
      <c r="EP1455" s="8"/>
      <c r="EQ1455" s="8"/>
      <c r="ER1455" s="8"/>
      <c r="ES1455" s="8"/>
      <c r="ET1455" s="8"/>
      <c r="EU1455" s="8"/>
      <c r="EV1455" s="8"/>
      <c r="EW1455" s="8"/>
      <c r="EX1455" s="8"/>
      <c r="EY1455" s="8"/>
      <c r="EZ1455" s="8"/>
      <c r="FA1455" s="8"/>
      <c r="FB1455" s="8"/>
      <c r="FC1455" s="8"/>
      <c r="FD1455" s="8"/>
      <c r="FE1455" s="8"/>
      <c r="FF1455" s="8"/>
      <c r="FG1455" s="8"/>
      <c r="FH1455" s="8"/>
      <c r="FI1455" s="8"/>
      <c r="FJ1455" s="8"/>
      <c r="FK1455" s="8"/>
      <c r="FL1455" s="8"/>
      <c r="FM1455" s="8"/>
      <c r="FN1455" s="8"/>
      <c r="FO1455" s="8"/>
      <c r="FP1455" s="8"/>
      <c r="FQ1455" s="8"/>
      <c r="FR1455" s="8"/>
      <c r="FS1455" s="8"/>
      <c r="FT1455" s="8"/>
      <c r="FU1455" s="8"/>
      <c r="FV1455" s="8"/>
      <c r="FW1455" s="8"/>
      <c r="FX1455" s="8"/>
      <c r="FY1455" s="8"/>
      <c r="FZ1455" s="8"/>
      <c r="GA1455" s="8"/>
      <c r="GB1455" s="8"/>
      <c r="GC1455" s="8"/>
      <c r="GD1455" s="8"/>
      <c r="GE1455" s="8"/>
      <c r="GF1455" s="8"/>
      <c r="GG1455" s="8"/>
      <c r="GH1455" s="8"/>
      <c r="GI1455" s="8"/>
      <c r="GJ1455" s="8"/>
      <c r="GK1455" s="8"/>
      <c r="GL1455" s="8"/>
      <c r="GM1455" s="8"/>
      <c r="GN1455" s="8"/>
      <c r="GO1455" s="8"/>
      <c r="GP1455" s="8"/>
      <c r="GQ1455" s="8"/>
      <c r="GR1455" s="8"/>
      <c r="GS1455" s="8"/>
      <c r="GT1455" s="8"/>
      <c r="GU1455" s="8"/>
      <c r="GV1455" s="8"/>
      <c r="GW1455" s="8"/>
      <c r="GX1455" s="8"/>
      <c r="GY1455" s="8"/>
      <c r="GZ1455" s="8"/>
      <c r="HA1455" s="8"/>
      <c r="HB1455" s="8"/>
      <c r="HC1455" s="8"/>
      <c r="HD1455" s="8"/>
      <c r="HE1455" s="8"/>
      <c r="HF1455" s="8"/>
      <c r="HG1455" s="8"/>
      <c r="HH1455" s="8"/>
      <c r="HI1455" s="8"/>
      <c r="HJ1455" s="8"/>
      <c r="HK1455" s="8"/>
      <c r="HL1455" s="8"/>
      <c r="HM1455" s="8"/>
      <c r="HN1455" s="8"/>
      <c r="HO1455" s="8"/>
      <c r="HP1455" s="8"/>
      <c r="HQ1455" s="8"/>
      <c r="HR1455" s="8"/>
      <c r="HS1455" s="8"/>
      <c r="HT1455" s="8"/>
      <c r="HU1455" s="8"/>
      <c r="HV1455" s="8"/>
      <c r="HW1455" s="8"/>
      <c r="HX1455" s="8"/>
      <c r="HY1455" s="8"/>
      <c r="HZ1455" s="8"/>
      <c r="IA1455" s="8"/>
      <c r="IB1455" s="8"/>
      <c r="IC1455" s="8"/>
      <c r="ID1455" s="8"/>
      <c r="IE1455" s="8"/>
      <c r="IF1455" s="8"/>
    </row>
    <row r="1456" spans="1:240">
      <c r="A1456" s="14"/>
      <c r="B1456" s="23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8"/>
      <c r="BS1456" s="8"/>
      <c r="BT1456" s="8"/>
      <c r="BU1456" s="8"/>
      <c r="BV1456" s="8"/>
      <c r="BW1456" s="8"/>
      <c r="BX1456" s="8"/>
      <c r="BY1456" s="8"/>
      <c r="BZ1456" s="8"/>
      <c r="CA1456" s="8"/>
      <c r="CB1456" s="8"/>
      <c r="CC1456" s="8"/>
      <c r="CD1456" s="8"/>
      <c r="CE1456" s="8"/>
      <c r="CF1456" s="8"/>
      <c r="CG1456" s="8"/>
      <c r="CH1456" s="8"/>
      <c r="CI1456" s="8"/>
      <c r="CJ1456" s="8"/>
      <c r="CK1456" s="8"/>
      <c r="CL1456" s="8"/>
      <c r="CM1456" s="8"/>
      <c r="CN1456" s="8"/>
      <c r="CO1456" s="8"/>
      <c r="CP1456" s="8"/>
      <c r="CQ1456" s="8"/>
      <c r="CR1456" s="8"/>
      <c r="CS1456" s="8"/>
      <c r="CT1456" s="8"/>
      <c r="CU1456" s="8"/>
      <c r="CV1456" s="8"/>
      <c r="CW1456" s="8"/>
      <c r="CX1456" s="8"/>
      <c r="CY1456" s="8"/>
      <c r="CZ1456" s="8"/>
      <c r="DA1456" s="8"/>
      <c r="DB1456" s="8"/>
      <c r="DC1456" s="8"/>
      <c r="DD1456" s="8"/>
      <c r="DE1456" s="8"/>
      <c r="DF1456" s="8"/>
      <c r="DG1456" s="8"/>
      <c r="DH1456" s="8"/>
      <c r="DI1456" s="8"/>
      <c r="DJ1456" s="8"/>
      <c r="DK1456" s="8"/>
      <c r="DL1456" s="8"/>
      <c r="DM1456" s="8"/>
      <c r="DN1456" s="8"/>
      <c r="DO1456" s="8"/>
      <c r="DP1456" s="8"/>
      <c r="DQ1456" s="8"/>
      <c r="DR1456" s="8"/>
      <c r="DS1456" s="8"/>
      <c r="DT1456" s="8"/>
      <c r="DU1456" s="8"/>
      <c r="DV1456" s="8"/>
      <c r="DW1456" s="8"/>
      <c r="DX1456" s="8"/>
      <c r="DY1456" s="8"/>
      <c r="DZ1456" s="8"/>
      <c r="EA1456" s="8"/>
      <c r="EB1456" s="8"/>
      <c r="EC1456" s="8"/>
      <c r="ED1456" s="8"/>
      <c r="EE1456" s="8"/>
      <c r="EF1456" s="8"/>
      <c r="EG1456" s="8"/>
      <c r="EH1456" s="8"/>
      <c r="EI1456" s="8"/>
      <c r="EJ1456" s="8"/>
      <c r="EK1456" s="8"/>
      <c r="EL1456" s="8"/>
      <c r="EM1456" s="8"/>
      <c r="EN1456" s="8"/>
      <c r="EO1456" s="8"/>
      <c r="EP1456" s="8"/>
      <c r="EQ1456" s="8"/>
      <c r="ER1456" s="8"/>
      <c r="ES1456" s="8"/>
      <c r="ET1456" s="8"/>
      <c r="EU1456" s="8"/>
      <c r="EV1456" s="8"/>
      <c r="EW1456" s="8"/>
      <c r="EX1456" s="8"/>
      <c r="EY1456" s="8"/>
      <c r="EZ1456" s="8"/>
      <c r="FA1456" s="8"/>
      <c r="FB1456" s="8"/>
      <c r="FC1456" s="8"/>
      <c r="FD1456" s="8"/>
      <c r="FE1456" s="8"/>
      <c r="FF1456" s="8"/>
      <c r="FG1456" s="8"/>
      <c r="FH1456" s="8"/>
      <c r="FI1456" s="8"/>
      <c r="FJ1456" s="8"/>
      <c r="FK1456" s="8"/>
      <c r="FL1456" s="8"/>
      <c r="FM1456" s="8"/>
      <c r="FN1456" s="8"/>
      <c r="FO1456" s="8"/>
      <c r="FP1456" s="8"/>
      <c r="FQ1456" s="8"/>
      <c r="FR1456" s="8"/>
      <c r="FS1456" s="8"/>
      <c r="FT1456" s="8"/>
      <c r="FU1456" s="8"/>
      <c r="FV1456" s="8"/>
      <c r="FW1456" s="8"/>
      <c r="FX1456" s="8"/>
      <c r="FY1456" s="8"/>
      <c r="FZ1456" s="8"/>
      <c r="GA1456" s="8"/>
      <c r="GB1456" s="8"/>
      <c r="GC1456" s="8"/>
      <c r="GD1456" s="8"/>
      <c r="GE1456" s="8"/>
      <c r="GF1456" s="8"/>
      <c r="GG1456" s="8"/>
      <c r="GH1456" s="8"/>
      <c r="GI1456" s="8"/>
      <c r="GJ1456" s="8"/>
      <c r="GK1456" s="8"/>
      <c r="GL1456" s="8"/>
      <c r="GM1456" s="8"/>
      <c r="GN1456" s="8"/>
      <c r="GO1456" s="8"/>
      <c r="GP1456" s="8"/>
      <c r="GQ1456" s="8"/>
      <c r="GR1456" s="8"/>
      <c r="GS1456" s="8"/>
      <c r="GT1456" s="8"/>
      <c r="GU1456" s="8"/>
      <c r="GV1456" s="8"/>
      <c r="GW1456" s="8"/>
      <c r="GX1456" s="8"/>
      <c r="GY1456" s="8"/>
      <c r="GZ1456" s="8"/>
      <c r="HA1456" s="8"/>
      <c r="HB1456" s="8"/>
      <c r="HC1456" s="8"/>
      <c r="HD1456" s="8"/>
      <c r="HE1456" s="8"/>
      <c r="HF1456" s="8"/>
      <c r="HG1456" s="8"/>
      <c r="HH1456" s="8"/>
      <c r="HI1456" s="8"/>
      <c r="HJ1456" s="8"/>
      <c r="HK1456" s="8"/>
      <c r="HL1456" s="8"/>
      <c r="HM1456" s="8"/>
      <c r="HN1456" s="8"/>
      <c r="HO1456" s="8"/>
      <c r="HP1456" s="8"/>
      <c r="HQ1456" s="8"/>
      <c r="HR1456" s="8"/>
      <c r="HS1456" s="8"/>
      <c r="HT1456" s="8"/>
      <c r="HU1456" s="8"/>
      <c r="HV1456" s="8"/>
      <c r="HW1456" s="8"/>
      <c r="HX1456" s="8"/>
      <c r="HY1456" s="8"/>
      <c r="HZ1456" s="8"/>
      <c r="IA1456" s="8"/>
      <c r="IB1456" s="8"/>
      <c r="IC1456" s="8"/>
      <c r="ID1456" s="8"/>
      <c r="IE1456" s="8"/>
      <c r="IF1456" s="8"/>
    </row>
    <row r="1457" spans="1:240">
      <c r="A1457" s="14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  <c r="AJ1457" s="23"/>
      <c r="AK1457" s="23"/>
      <c r="AL1457" s="23"/>
      <c r="AM1457" s="23"/>
      <c r="AN1457" s="23"/>
      <c r="AO1457" s="8"/>
      <c r="AP1457" s="8"/>
      <c r="AQ1457" s="8"/>
      <c r="AR1457" s="8"/>
      <c r="AS1457" s="8"/>
      <c r="AT1457" s="8"/>
      <c r="AU1457" s="8"/>
      <c r="AV1457" s="8"/>
      <c r="AW1457" s="8"/>
      <c r="AX1457" s="8"/>
      <c r="AY1457" s="8"/>
      <c r="AZ1457" s="8"/>
      <c r="BA1457" s="8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8"/>
      <c r="BS1457" s="8"/>
      <c r="BT1457" s="8"/>
      <c r="BU1457" s="8"/>
      <c r="BV1457" s="8"/>
      <c r="BW1457" s="8"/>
      <c r="BX1457" s="8"/>
      <c r="BY1457" s="8"/>
      <c r="BZ1457" s="8"/>
      <c r="CA1457" s="8"/>
      <c r="CB1457" s="8"/>
      <c r="CC1457" s="8"/>
      <c r="CD1457" s="8"/>
      <c r="CE1457" s="8"/>
      <c r="CF1457" s="8"/>
      <c r="CG1457" s="8"/>
      <c r="CH1457" s="8"/>
      <c r="CI1457" s="8"/>
      <c r="CJ1457" s="8"/>
      <c r="CK1457" s="8"/>
      <c r="CL1457" s="8"/>
      <c r="CM1457" s="8"/>
      <c r="CN1457" s="8"/>
      <c r="CO1457" s="8"/>
      <c r="CP1457" s="8"/>
      <c r="CQ1457" s="8"/>
      <c r="CR1457" s="8"/>
      <c r="CS1457" s="8"/>
      <c r="CT1457" s="8"/>
      <c r="CU1457" s="8"/>
      <c r="CV1457" s="8"/>
      <c r="CW1457" s="8"/>
      <c r="CX1457" s="8"/>
      <c r="CY1457" s="8"/>
      <c r="CZ1457" s="8"/>
      <c r="DA1457" s="8"/>
      <c r="DB1457" s="8"/>
      <c r="DC1457" s="8"/>
      <c r="DD1457" s="8"/>
      <c r="DE1457" s="8"/>
      <c r="DF1457" s="8"/>
      <c r="DG1457" s="8"/>
      <c r="DH1457" s="8"/>
      <c r="DI1457" s="8"/>
      <c r="DJ1457" s="8"/>
      <c r="DK1457" s="8"/>
      <c r="DL1457" s="8"/>
      <c r="DM1457" s="8"/>
      <c r="DN1457" s="8"/>
      <c r="DO1457" s="8"/>
      <c r="DP1457" s="8"/>
      <c r="DQ1457" s="8"/>
      <c r="DR1457" s="8"/>
      <c r="DS1457" s="8"/>
      <c r="DT1457" s="8"/>
      <c r="DU1457" s="8"/>
      <c r="DV1457" s="8"/>
      <c r="DW1457" s="8"/>
      <c r="DX1457" s="8"/>
      <c r="DY1457" s="8"/>
      <c r="DZ1457" s="8"/>
      <c r="EA1457" s="8"/>
      <c r="EB1457" s="8"/>
      <c r="EC1457" s="8"/>
      <c r="ED1457" s="8"/>
      <c r="EE1457" s="8"/>
      <c r="EF1457" s="8"/>
      <c r="EG1457" s="8"/>
      <c r="EH1457" s="8"/>
      <c r="EI1457" s="8"/>
      <c r="EJ1457" s="8"/>
      <c r="EK1457" s="8"/>
      <c r="EL1457" s="8"/>
      <c r="EM1457" s="8"/>
      <c r="EN1457" s="8"/>
      <c r="EO1457" s="8"/>
      <c r="EP1457" s="8"/>
      <c r="EQ1457" s="8"/>
      <c r="ER1457" s="8"/>
      <c r="ES1457" s="8"/>
      <c r="ET1457" s="8"/>
      <c r="EU1457" s="8"/>
      <c r="EV1457" s="8"/>
      <c r="EW1457" s="8"/>
      <c r="EX1457" s="8"/>
      <c r="EY1457" s="8"/>
      <c r="EZ1457" s="8"/>
      <c r="FA1457" s="8"/>
      <c r="FB1457" s="8"/>
      <c r="FC1457" s="8"/>
      <c r="FD1457" s="8"/>
      <c r="FE1457" s="8"/>
      <c r="FF1457" s="8"/>
      <c r="FG1457" s="8"/>
      <c r="FH1457" s="8"/>
      <c r="FI1457" s="8"/>
      <c r="FJ1457" s="8"/>
      <c r="FK1457" s="8"/>
      <c r="FL1457" s="8"/>
      <c r="FM1457" s="8"/>
      <c r="FN1457" s="8"/>
      <c r="FO1457" s="8"/>
      <c r="FP1457" s="8"/>
      <c r="FQ1457" s="8"/>
      <c r="FR1457" s="8"/>
      <c r="FS1457" s="8"/>
      <c r="FT1457" s="8"/>
      <c r="FU1457" s="8"/>
      <c r="FV1457" s="8"/>
      <c r="FW1457" s="8"/>
      <c r="FX1457" s="8"/>
      <c r="FY1457" s="8"/>
      <c r="FZ1457" s="8"/>
      <c r="GA1457" s="8"/>
      <c r="GB1457" s="8"/>
      <c r="GC1457" s="8"/>
      <c r="GD1457" s="8"/>
      <c r="GE1457" s="8"/>
      <c r="GF1457" s="8"/>
      <c r="GG1457" s="8"/>
      <c r="GH1457" s="8"/>
      <c r="GI1457" s="8"/>
      <c r="GJ1457" s="8"/>
      <c r="GK1457" s="8"/>
      <c r="GL1457" s="8"/>
      <c r="GM1457" s="8"/>
      <c r="GN1457" s="8"/>
      <c r="GO1457" s="8"/>
      <c r="GP1457" s="8"/>
      <c r="GQ1457" s="8"/>
      <c r="GR1457" s="8"/>
      <c r="GS1457" s="8"/>
      <c r="GT1457" s="8"/>
      <c r="GU1457" s="8"/>
      <c r="GV1457" s="8"/>
      <c r="GW1457" s="8"/>
      <c r="GX1457" s="8"/>
      <c r="GY1457" s="8"/>
      <c r="GZ1457" s="8"/>
      <c r="HA1457" s="8"/>
      <c r="HB1457" s="8"/>
      <c r="HC1457" s="8"/>
      <c r="HD1457" s="8"/>
      <c r="HE1457" s="8"/>
      <c r="HF1457" s="8"/>
      <c r="HG1457" s="8"/>
      <c r="HH1457" s="8"/>
      <c r="HI1457" s="8"/>
      <c r="HJ1457" s="8"/>
      <c r="HK1457" s="8"/>
      <c r="HL1457" s="8"/>
      <c r="HM1457" s="8"/>
      <c r="HN1457" s="8"/>
      <c r="HO1457" s="8"/>
      <c r="HP1457" s="8"/>
      <c r="HQ1457" s="8"/>
      <c r="HR1457" s="8"/>
      <c r="HS1457" s="8"/>
      <c r="HT1457" s="8"/>
      <c r="HU1457" s="8"/>
      <c r="HV1457" s="8"/>
      <c r="HW1457" s="8"/>
      <c r="HX1457" s="8"/>
      <c r="HY1457" s="8"/>
      <c r="HZ1457" s="8"/>
      <c r="IA1457" s="8"/>
      <c r="IB1457" s="8"/>
      <c r="IC1457" s="8"/>
      <c r="ID1457" s="8"/>
      <c r="IE1457" s="8"/>
      <c r="IF1457" s="8"/>
    </row>
    <row r="1458" spans="1:240">
      <c r="A1458" s="14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  <c r="AJ1458" s="23"/>
      <c r="AK1458" s="23"/>
      <c r="AL1458" s="23"/>
      <c r="AM1458" s="23"/>
      <c r="AN1458" s="23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8"/>
      <c r="BS1458" s="8"/>
      <c r="BT1458" s="8"/>
      <c r="BU1458" s="8"/>
      <c r="BV1458" s="8"/>
      <c r="BW1458" s="8"/>
      <c r="BX1458" s="8"/>
      <c r="BY1458" s="8"/>
      <c r="BZ1458" s="8"/>
      <c r="CA1458" s="8"/>
      <c r="CB1458" s="8"/>
      <c r="CC1458" s="8"/>
      <c r="CD1458" s="8"/>
      <c r="CE1458" s="8"/>
      <c r="CF1458" s="8"/>
      <c r="CG1458" s="8"/>
      <c r="CH1458" s="8"/>
      <c r="CI1458" s="8"/>
      <c r="CJ1458" s="8"/>
      <c r="CK1458" s="8"/>
      <c r="CL1458" s="8"/>
      <c r="CM1458" s="8"/>
      <c r="CN1458" s="8"/>
      <c r="CO1458" s="8"/>
      <c r="CP1458" s="8"/>
      <c r="CQ1458" s="8"/>
      <c r="CR1458" s="8"/>
      <c r="CS1458" s="8"/>
      <c r="CT1458" s="8"/>
      <c r="CU1458" s="8"/>
      <c r="CV1458" s="8"/>
      <c r="CW1458" s="8"/>
      <c r="CX1458" s="8"/>
      <c r="CY1458" s="8"/>
      <c r="CZ1458" s="8"/>
      <c r="DA1458" s="8"/>
      <c r="DB1458" s="8"/>
      <c r="DC1458" s="8"/>
      <c r="DD1458" s="8"/>
      <c r="DE1458" s="8"/>
      <c r="DF1458" s="8"/>
      <c r="DG1458" s="8"/>
      <c r="DH1458" s="8"/>
      <c r="DI1458" s="8"/>
      <c r="DJ1458" s="8"/>
      <c r="DK1458" s="8"/>
      <c r="DL1458" s="8"/>
      <c r="DM1458" s="8"/>
      <c r="DN1458" s="8"/>
      <c r="DO1458" s="8"/>
      <c r="DP1458" s="8"/>
      <c r="DQ1458" s="8"/>
      <c r="DR1458" s="8"/>
      <c r="DS1458" s="8"/>
      <c r="DT1458" s="8"/>
      <c r="DU1458" s="8"/>
      <c r="DV1458" s="8"/>
      <c r="DW1458" s="8"/>
      <c r="DX1458" s="8"/>
      <c r="DY1458" s="8"/>
      <c r="DZ1458" s="8"/>
      <c r="EA1458" s="8"/>
      <c r="EB1458" s="8"/>
      <c r="EC1458" s="8"/>
      <c r="ED1458" s="8"/>
      <c r="EE1458" s="8"/>
      <c r="EF1458" s="8"/>
      <c r="EG1458" s="8"/>
      <c r="EH1458" s="8"/>
      <c r="EI1458" s="8"/>
      <c r="EJ1458" s="8"/>
      <c r="EK1458" s="8"/>
      <c r="EL1458" s="8"/>
      <c r="EM1458" s="8"/>
      <c r="EN1458" s="8"/>
      <c r="EO1458" s="8"/>
      <c r="EP1458" s="8"/>
      <c r="EQ1458" s="8"/>
      <c r="ER1458" s="8"/>
      <c r="ES1458" s="8"/>
      <c r="ET1458" s="8"/>
      <c r="EU1458" s="8"/>
      <c r="EV1458" s="8"/>
      <c r="EW1458" s="8"/>
      <c r="EX1458" s="8"/>
      <c r="EY1458" s="8"/>
      <c r="EZ1458" s="8"/>
      <c r="FA1458" s="8"/>
      <c r="FB1458" s="8"/>
      <c r="FC1458" s="8"/>
      <c r="FD1458" s="8"/>
      <c r="FE1458" s="8"/>
      <c r="FF1458" s="8"/>
      <c r="FG1458" s="8"/>
      <c r="FH1458" s="8"/>
      <c r="FI1458" s="8"/>
      <c r="FJ1458" s="8"/>
      <c r="FK1458" s="8"/>
      <c r="FL1458" s="8"/>
      <c r="FM1458" s="8"/>
      <c r="FN1458" s="8"/>
      <c r="FO1458" s="8"/>
      <c r="FP1458" s="8"/>
      <c r="FQ1458" s="8"/>
      <c r="FR1458" s="8"/>
      <c r="FS1458" s="8"/>
      <c r="FT1458" s="8"/>
      <c r="FU1458" s="8"/>
      <c r="FV1458" s="8"/>
      <c r="FW1458" s="8"/>
      <c r="FX1458" s="8"/>
      <c r="FY1458" s="8"/>
      <c r="FZ1458" s="8"/>
      <c r="GA1458" s="8"/>
      <c r="GB1458" s="8"/>
      <c r="GC1458" s="8"/>
      <c r="GD1458" s="8"/>
      <c r="GE1458" s="8"/>
      <c r="GF1458" s="8"/>
      <c r="GG1458" s="8"/>
      <c r="GH1458" s="8"/>
      <c r="GI1458" s="8"/>
      <c r="GJ1458" s="8"/>
      <c r="GK1458" s="8"/>
      <c r="GL1458" s="8"/>
      <c r="GM1458" s="8"/>
      <c r="GN1458" s="8"/>
      <c r="GO1458" s="8"/>
      <c r="GP1458" s="8"/>
      <c r="GQ1458" s="8"/>
      <c r="GR1458" s="8"/>
      <c r="GS1458" s="8"/>
      <c r="GT1458" s="8"/>
      <c r="GU1458" s="8"/>
      <c r="GV1458" s="8"/>
      <c r="GW1458" s="8"/>
      <c r="GX1458" s="8"/>
      <c r="GY1458" s="8"/>
      <c r="GZ1458" s="8"/>
      <c r="HA1458" s="8"/>
      <c r="HB1458" s="8"/>
      <c r="HC1458" s="8"/>
      <c r="HD1458" s="8"/>
      <c r="HE1458" s="8"/>
      <c r="HF1458" s="8"/>
      <c r="HG1458" s="8"/>
      <c r="HH1458" s="8"/>
      <c r="HI1458" s="8"/>
      <c r="HJ1458" s="8"/>
      <c r="HK1458" s="8"/>
      <c r="HL1458" s="8"/>
      <c r="HM1458" s="8"/>
      <c r="HN1458" s="8"/>
      <c r="HO1458" s="8"/>
      <c r="HP1458" s="8"/>
      <c r="HQ1458" s="8"/>
      <c r="HR1458" s="8"/>
      <c r="HS1458" s="8"/>
      <c r="HT1458" s="8"/>
      <c r="HU1458" s="8"/>
      <c r="HV1458" s="8"/>
      <c r="HW1458" s="8"/>
      <c r="HX1458" s="8"/>
      <c r="HY1458" s="8"/>
      <c r="HZ1458" s="8"/>
      <c r="IA1458" s="8"/>
      <c r="IB1458" s="8"/>
      <c r="IC1458" s="8"/>
      <c r="ID1458" s="8"/>
      <c r="IE1458" s="8"/>
      <c r="IF1458" s="8"/>
    </row>
    <row r="1459" spans="1:240">
      <c r="A1459" s="14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  <c r="AJ1459" s="23"/>
      <c r="AK1459" s="23"/>
      <c r="AL1459" s="23"/>
      <c r="AM1459" s="23"/>
      <c r="AN1459" s="23"/>
      <c r="AO1459" s="8"/>
      <c r="AP1459" s="8"/>
      <c r="AQ1459" s="8"/>
      <c r="AR1459" s="8"/>
      <c r="AS1459" s="8"/>
      <c r="AT1459" s="8"/>
      <c r="AU1459" s="8"/>
      <c r="AV1459" s="8"/>
      <c r="AW1459" s="8"/>
      <c r="AX1459" s="8"/>
      <c r="AY1459" s="8"/>
      <c r="AZ1459" s="8"/>
      <c r="BA1459" s="8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8"/>
      <c r="BS1459" s="8"/>
      <c r="BT1459" s="8"/>
      <c r="BU1459" s="8"/>
      <c r="BV1459" s="8"/>
      <c r="BW1459" s="8"/>
      <c r="BX1459" s="8"/>
      <c r="BY1459" s="8"/>
      <c r="BZ1459" s="8"/>
      <c r="CA1459" s="8"/>
      <c r="CB1459" s="8"/>
      <c r="CC1459" s="8"/>
      <c r="CD1459" s="8"/>
      <c r="CE1459" s="8"/>
      <c r="CF1459" s="8"/>
      <c r="CG1459" s="8"/>
      <c r="CH1459" s="8"/>
      <c r="CI1459" s="8"/>
      <c r="CJ1459" s="8"/>
      <c r="CK1459" s="8"/>
      <c r="CL1459" s="8"/>
      <c r="CM1459" s="8"/>
      <c r="CN1459" s="8"/>
      <c r="CO1459" s="8"/>
      <c r="CP1459" s="8"/>
      <c r="CQ1459" s="8"/>
      <c r="CR1459" s="8"/>
      <c r="CS1459" s="8"/>
      <c r="CT1459" s="8"/>
      <c r="CU1459" s="8"/>
      <c r="CV1459" s="8"/>
      <c r="CW1459" s="8"/>
      <c r="CX1459" s="8"/>
      <c r="CY1459" s="8"/>
      <c r="CZ1459" s="8"/>
      <c r="DA1459" s="8"/>
      <c r="DB1459" s="8"/>
      <c r="DC1459" s="8"/>
      <c r="DD1459" s="8"/>
      <c r="DE1459" s="8"/>
      <c r="DF1459" s="8"/>
      <c r="DG1459" s="8"/>
      <c r="DH1459" s="8"/>
      <c r="DI1459" s="8"/>
      <c r="DJ1459" s="8"/>
      <c r="DK1459" s="8"/>
      <c r="DL1459" s="8"/>
      <c r="DM1459" s="8"/>
      <c r="DN1459" s="8"/>
      <c r="DO1459" s="8"/>
      <c r="DP1459" s="8"/>
      <c r="DQ1459" s="8"/>
      <c r="DR1459" s="8"/>
      <c r="DS1459" s="8"/>
      <c r="DT1459" s="8"/>
      <c r="DU1459" s="8"/>
      <c r="DV1459" s="8"/>
      <c r="DW1459" s="8"/>
      <c r="DX1459" s="8"/>
      <c r="DY1459" s="8"/>
      <c r="DZ1459" s="8"/>
      <c r="EA1459" s="8"/>
      <c r="EB1459" s="8"/>
      <c r="EC1459" s="8"/>
      <c r="ED1459" s="8"/>
      <c r="EE1459" s="8"/>
      <c r="EF1459" s="8"/>
      <c r="EG1459" s="8"/>
      <c r="EH1459" s="8"/>
      <c r="EI1459" s="8"/>
      <c r="EJ1459" s="8"/>
      <c r="EK1459" s="8"/>
      <c r="EL1459" s="8"/>
      <c r="EM1459" s="8"/>
      <c r="EN1459" s="8"/>
      <c r="EO1459" s="8"/>
      <c r="EP1459" s="8"/>
      <c r="EQ1459" s="8"/>
      <c r="ER1459" s="8"/>
      <c r="ES1459" s="8"/>
      <c r="ET1459" s="8"/>
      <c r="EU1459" s="8"/>
      <c r="EV1459" s="8"/>
      <c r="EW1459" s="8"/>
      <c r="EX1459" s="8"/>
      <c r="EY1459" s="8"/>
      <c r="EZ1459" s="8"/>
      <c r="FA1459" s="8"/>
      <c r="FB1459" s="8"/>
      <c r="FC1459" s="8"/>
      <c r="FD1459" s="8"/>
      <c r="FE1459" s="8"/>
      <c r="FF1459" s="8"/>
      <c r="FG1459" s="8"/>
      <c r="FH1459" s="8"/>
      <c r="FI1459" s="8"/>
      <c r="FJ1459" s="8"/>
      <c r="FK1459" s="8"/>
      <c r="FL1459" s="8"/>
      <c r="FM1459" s="8"/>
      <c r="FN1459" s="8"/>
      <c r="FO1459" s="8"/>
      <c r="FP1459" s="8"/>
      <c r="FQ1459" s="8"/>
      <c r="FR1459" s="8"/>
      <c r="FS1459" s="8"/>
      <c r="FT1459" s="8"/>
      <c r="FU1459" s="8"/>
      <c r="FV1459" s="8"/>
      <c r="FW1459" s="8"/>
      <c r="FX1459" s="8"/>
      <c r="FY1459" s="8"/>
      <c r="FZ1459" s="8"/>
      <c r="GA1459" s="8"/>
      <c r="GB1459" s="8"/>
      <c r="GC1459" s="8"/>
      <c r="GD1459" s="8"/>
      <c r="GE1459" s="8"/>
      <c r="GF1459" s="8"/>
      <c r="GG1459" s="8"/>
      <c r="GH1459" s="8"/>
      <c r="GI1459" s="8"/>
      <c r="GJ1459" s="8"/>
      <c r="GK1459" s="8"/>
      <c r="GL1459" s="8"/>
      <c r="GM1459" s="8"/>
      <c r="GN1459" s="8"/>
      <c r="GO1459" s="8"/>
      <c r="GP1459" s="8"/>
      <c r="GQ1459" s="8"/>
      <c r="GR1459" s="8"/>
      <c r="GS1459" s="8"/>
      <c r="GT1459" s="8"/>
      <c r="GU1459" s="8"/>
      <c r="GV1459" s="8"/>
      <c r="GW1459" s="8"/>
      <c r="GX1459" s="8"/>
      <c r="GY1459" s="8"/>
      <c r="GZ1459" s="8"/>
      <c r="HA1459" s="8"/>
      <c r="HB1459" s="8"/>
      <c r="HC1459" s="8"/>
      <c r="HD1459" s="8"/>
      <c r="HE1459" s="8"/>
      <c r="HF1459" s="8"/>
      <c r="HG1459" s="8"/>
      <c r="HH1459" s="8"/>
      <c r="HI1459" s="8"/>
      <c r="HJ1459" s="8"/>
      <c r="HK1459" s="8"/>
      <c r="HL1459" s="8"/>
      <c r="HM1459" s="8"/>
      <c r="HN1459" s="8"/>
      <c r="HO1459" s="8"/>
      <c r="HP1459" s="8"/>
      <c r="HQ1459" s="8"/>
      <c r="HR1459" s="8"/>
      <c r="HS1459" s="8"/>
      <c r="HT1459" s="8"/>
      <c r="HU1459" s="8"/>
      <c r="HV1459" s="8"/>
      <c r="HW1459" s="8"/>
      <c r="HX1459" s="8"/>
      <c r="HY1459" s="8"/>
      <c r="HZ1459" s="8"/>
      <c r="IA1459" s="8"/>
      <c r="IB1459" s="8"/>
      <c r="IC1459" s="8"/>
      <c r="ID1459" s="8"/>
      <c r="IE1459" s="8"/>
      <c r="IF1459" s="8"/>
    </row>
    <row r="1460" spans="1:240">
      <c r="A1460" s="14"/>
      <c r="B1460" s="23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  <c r="AJ1460" s="23"/>
      <c r="AK1460" s="23"/>
      <c r="AL1460" s="23"/>
      <c r="AM1460" s="23"/>
      <c r="AN1460" s="23"/>
      <c r="AO1460" s="8"/>
      <c r="AP1460" s="8"/>
      <c r="AQ1460" s="8"/>
      <c r="AR1460" s="8"/>
      <c r="AS1460" s="8"/>
      <c r="AT1460" s="8"/>
      <c r="AU1460" s="8"/>
      <c r="AV1460" s="8"/>
      <c r="AW1460" s="8"/>
      <c r="AX1460" s="8"/>
      <c r="AY1460" s="8"/>
      <c r="AZ1460" s="8"/>
      <c r="BA1460" s="8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8"/>
      <c r="BS1460" s="8"/>
      <c r="BT1460" s="8"/>
      <c r="BU1460" s="8"/>
      <c r="BV1460" s="8"/>
      <c r="BW1460" s="8"/>
      <c r="BX1460" s="8"/>
      <c r="BY1460" s="8"/>
      <c r="BZ1460" s="8"/>
      <c r="CA1460" s="8"/>
      <c r="CB1460" s="8"/>
      <c r="CC1460" s="8"/>
      <c r="CD1460" s="8"/>
      <c r="CE1460" s="8"/>
      <c r="CF1460" s="8"/>
      <c r="CG1460" s="8"/>
      <c r="CH1460" s="8"/>
      <c r="CI1460" s="8"/>
      <c r="CJ1460" s="8"/>
      <c r="CK1460" s="8"/>
      <c r="CL1460" s="8"/>
      <c r="CM1460" s="8"/>
      <c r="CN1460" s="8"/>
      <c r="CO1460" s="8"/>
      <c r="CP1460" s="8"/>
      <c r="CQ1460" s="8"/>
      <c r="CR1460" s="8"/>
      <c r="CS1460" s="8"/>
      <c r="CT1460" s="8"/>
      <c r="CU1460" s="8"/>
      <c r="CV1460" s="8"/>
      <c r="CW1460" s="8"/>
      <c r="CX1460" s="8"/>
      <c r="CY1460" s="8"/>
      <c r="CZ1460" s="8"/>
      <c r="DA1460" s="8"/>
      <c r="DB1460" s="8"/>
      <c r="DC1460" s="8"/>
      <c r="DD1460" s="8"/>
      <c r="DE1460" s="8"/>
      <c r="DF1460" s="8"/>
      <c r="DG1460" s="8"/>
      <c r="DH1460" s="8"/>
      <c r="DI1460" s="8"/>
      <c r="DJ1460" s="8"/>
      <c r="DK1460" s="8"/>
      <c r="DL1460" s="8"/>
      <c r="DM1460" s="8"/>
      <c r="DN1460" s="8"/>
      <c r="DO1460" s="8"/>
      <c r="DP1460" s="8"/>
      <c r="DQ1460" s="8"/>
      <c r="DR1460" s="8"/>
      <c r="DS1460" s="8"/>
      <c r="DT1460" s="8"/>
      <c r="DU1460" s="8"/>
      <c r="DV1460" s="8"/>
      <c r="DW1460" s="8"/>
      <c r="DX1460" s="8"/>
      <c r="DY1460" s="8"/>
      <c r="DZ1460" s="8"/>
      <c r="EA1460" s="8"/>
      <c r="EB1460" s="8"/>
      <c r="EC1460" s="8"/>
      <c r="ED1460" s="8"/>
      <c r="EE1460" s="8"/>
      <c r="EF1460" s="8"/>
      <c r="EG1460" s="8"/>
      <c r="EH1460" s="8"/>
      <c r="EI1460" s="8"/>
      <c r="EJ1460" s="8"/>
      <c r="EK1460" s="8"/>
      <c r="EL1460" s="8"/>
      <c r="EM1460" s="8"/>
      <c r="EN1460" s="8"/>
      <c r="EO1460" s="8"/>
      <c r="EP1460" s="8"/>
      <c r="EQ1460" s="8"/>
      <c r="ER1460" s="8"/>
      <c r="ES1460" s="8"/>
      <c r="ET1460" s="8"/>
      <c r="EU1460" s="8"/>
      <c r="EV1460" s="8"/>
      <c r="EW1460" s="8"/>
      <c r="EX1460" s="8"/>
      <c r="EY1460" s="8"/>
      <c r="EZ1460" s="8"/>
      <c r="FA1460" s="8"/>
      <c r="FB1460" s="8"/>
      <c r="FC1460" s="8"/>
      <c r="FD1460" s="8"/>
      <c r="FE1460" s="8"/>
      <c r="FF1460" s="8"/>
      <c r="FG1460" s="8"/>
      <c r="FH1460" s="8"/>
      <c r="FI1460" s="8"/>
      <c r="FJ1460" s="8"/>
      <c r="FK1460" s="8"/>
      <c r="FL1460" s="8"/>
      <c r="FM1460" s="8"/>
      <c r="FN1460" s="8"/>
      <c r="FO1460" s="8"/>
      <c r="FP1460" s="8"/>
      <c r="FQ1460" s="8"/>
      <c r="FR1460" s="8"/>
      <c r="FS1460" s="8"/>
      <c r="FT1460" s="8"/>
      <c r="FU1460" s="8"/>
      <c r="FV1460" s="8"/>
      <c r="FW1460" s="8"/>
      <c r="FX1460" s="8"/>
      <c r="FY1460" s="8"/>
      <c r="FZ1460" s="8"/>
      <c r="GA1460" s="8"/>
      <c r="GB1460" s="8"/>
      <c r="GC1460" s="8"/>
      <c r="GD1460" s="8"/>
      <c r="GE1460" s="8"/>
      <c r="GF1460" s="8"/>
      <c r="GG1460" s="8"/>
      <c r="GH1460" s="8"/>
      <c r="GI1460" s="8"/>
      <c r="GJ1460" s="8"/>
      <c r="GK1460" s="8"/>
      <c r="GL1460" s="8"/>
      <c r="GM1460" s="8"/>
      <c r="GN1460" s="8"/>
      <c r="GO1460" s="8"/>
      <c r="GP1460" s="8"/>
      <c r="GQ1460" s="8"/>
      <c r="GR1460" s="8"/>
      <c r="GS1460" s="8"/>
      <c r="GT1460" s="8"/>
      <c r="GU1460" s="8"/>
      <c r="GV1460" s="8"/>
      <c r="GW1460" s="8"/>
      <c r="GX1460" s="8"/>
      <c r="GY1460" s="8"/>
      <c r="GZ1460" s="8"/>
      <c r="HA1460" s="8"/>
      <c r="HB1460" s="8"/>
      <c r="HC1460" s="8"/>
      <c r="HD1460" s="8"/>
      <c r="HE1460" s="8"/>
      <c r="HF1460" s="8"/>
      <c r="HG1460" s="8"/>
      <c r="HH1460" s="8"/>
      <c r="HI1460" s="8"/>
      <c r="HJ1460" s="8"/>
      <c r="HK1460" s="8"/>
      <c r="HL1460" s="8"/>
      <c r="HM1460" s="8"/>
      <c r="HN1460" s="8"/>
      <c r="HO1460" s="8"/>
      <c r="HP1460" s="8"/>
      <c r="HQ1460" s="8"/>
      <c r="HR1460" s="8"/>
      <c r="HS1460" s="8"/>
      <c r="HT1460" s="8"/>
      <c r="HU1460" s="8"/>
      <c r="HV1460" s="8"/>
      <c r="HW1460" s="8"/>
      <c r="HX1460" s="8"/>
      <c r="HY1460" s="8"/>
      <c r="HZ1460" s="8"/>
      <c r="IA1460" s="8"/>
      <c r="IB1460" s="8"/>
      <c r="IC1460" s="8"/>
      <c r="ID1460" s="8"/>
      <c r="IE1460" s="8"/>
      <c r="IF1460" s="8"/>
    </row>
    <row r="1461" spans="1:240">
      <c r="A1461" s="14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  <c r="AJ1461" s="23"/>
      <c r="AK1461" s="23"/>
      <c r="AL1461" s="23"/>
      <c r="AM1461" s="23"/>
      <c r="AN1461" s="23"/>
      <c r="AO1461" s="8"/>
      <c r="AP1461" s="8"/>
      <c r="AQ1461" s="8"/>
      <c r="AR1461" s="8"/>
      <c r="AS1461" s="8"/>
      <c r="AT1461" s="8"/>
      <c r="AU1461" s="8"/>
      <c r="AV1461" s="8"/>
      <c r="AW1461" s="8"/>
      <c r="AX1461" s="8"/>
      <c r="AY1461" s="8"/>
      <c r="AZ1461" s="8"/>
      <c r="BA1461" s="8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8"/>
      <c r="BS1461" s="8"/>
      <c r="BT1461" s="8"/>
      <c r="BU1461" s="8"/>
      <c r="BV1461" s="8"/>
      <c r="BW1461" s="8"/>
      <c r="BX1461" s="8"/>
      <c r="BY1461" s="8"/>
      <c r="BZ1461" s="8"/>
      <c r="CA1461" s="8"/>
      <c r="CB1461" s="8"/>
      <c r="CC1461" s="8"/>
      <c r="CD1461" s="8"/>
      <c r="CE1461" s="8"/>
      <c r="CF1461" s="8"/>
      <c r="CG1461" s="8"/>
      <c r="CH1461" s="8"/>
      <c r="CI1461" s="8"/>
      <c r="CJ1461" s="8"/>
      <c r="CK1461" s="8"/>
      <c r="CL1461" s="8"/>
      <c r="CM1461" s="8"/>
      <c r="CN1461" s="8"/>
      <c r="CO1461" s="8"/>
      <c r="CP1461" s="8"/>
      <c r="CQ1461" s="8"/>
      <c r="CR1461" s="8"/>
      <c r="CS1461" s="8"/>
      <c r="CT1461" s="8"/>
      <c r="CU1461" s="8"/>
      <c r="CV1461" s="8"/>
      <c r="CW1461" s="8"/>
      <c r="CX1461" s="8"/>
      <c r="CY1461" s="8"/>
      <c r="CZ1461" s="8"/>
      <c r="DA1461" s="8"/>
      <c r="DB1461" s="8"/>
      <c r="DC1461" s="8"/>
      <c r="DD1461" s="8"/>
      <c r="DE1461" s="8"/>
      <c r="DF1461" s="8"/>
      <c r="DG1461" s="8"/>
      <c r="DH1461" s="8"/>
      <c r="DI1461" s="8"/>
      <c r="DJ1461" s="8"/>
      <c r="DK1461" s="8"/>
      <c r="DL1461" s="8"/>
      <c r="DM1461" s="8"/>
      <c r="DN1461" s="8"/>
      <c r="DO1461" s="8"/>
      <c r="DP1461" s="8"/>
      <c r="DQ1461" s="8"/>
      <c r="DR1461" s="8"/>
      <c r="DS1461" s="8"/>
      <c r="DT1461" s="8"/>
      <c r="DU1461" s="8"/>
      <c r="DV1461" s="8"/>
      <c r="DW1461" s="8"/>
      <c r="DX1461" s="8"/>
      <c r="DY1461" s="8"/>
      <c r="DZ1461" s="8"/>
      <c r="EA1461" s="8"/>
      <c r="EB1461" s="8"/>
      <c r="EC1461" s="8"/>
      <c r="ED1461" s="8"/>
      <c r="EE1461" s="8"/>
      <c r="EF1461" s="8"/>
      <c r="EG1461" s="8"/>
      <c r="EH1461" s="8"/>
      <c r="EI1461" s="8"/>
      <c r="EJ1461" s="8"/>
      <c r="EK1461" s="8"/>
      <c r="EL1461" s="8"/>
      <c r="EM1461" s="8"/>
      <c r="EN1461" s="8"/>
      <c r="EO1461" s="8"/>
      <c r="EP1461" s="8"/>
      <c r="EQ1461" s="8"/>
      <c r="ER1461" s="8"/>
      <c r="ES1461" s="8"/>
      <c r="ET1461" s="8"/>
      <c r="EU1461" s="8"/>
      <c r="EV1461" s="8"/>
      <c r="EW1461" s="8"/>
      <c r="EX1461" s="8"/>
      <c r="EY1461" s="8"/>
      <c r="EZ1461" s="8"/>
      <c r="FA1461" s="8"/>
      <c r="FB1461" s="8"/>
      <c r="FC1461" s="8"/>
      <c r="FD1461" s="8"/>
      <c r="FE1461" s="8"/>
      <c r="FF1461" s="8"/>
      <c r="FG1461" s="8"/>
      <c r="FH1461" s="8"/>
      <c r="FI1461" s="8"/>
      <c r="FJ1461" s="8"/>
      <c r="FK1461" s="8"/>
      <c r="FL1461" s="8"/>
      <c r="FM1461" s="8"/>
      <c r="FN1461" s="8"/>
      <c r="FO1461" s="8"/>
      <c r="FP1461" s="8"/>
      <c r="FQ1461" s="8"/>
      <c r="FR1461" s="8"/>
      <c r="FS1461" s="8"/>
      <c r="FT1461" s="8"/>
      <c r="FU1461" s="8"/>
      <c r="FV1461" s="8"/>
      <c r="FW1461" s="8"/>
      <c r="FX1461" s="8"/>
      <c r="FY1461" s="8"/>
      <c r="FZ1461" s="8"/>
      <c r="GA1461" s="8"/>
      <c r="GB1461" s="8"/>
      <c r="GC1461" s="8"/>
      <c r="GD1461" s="8"/>
      <c r="GE1461" s="8"/>
      <c r="GF1461" s="8"/>
      <c r="GG1461" s="8"/>
      <c r="GH1461" s="8"/>
      <c r="GI1461" s="8"/>
      <c r="GJ1461" s="8"/>
      <c r="GK1461" s="8"/>
      <c r="GL1461" s="8"/>
      <c r="GM1461" s="8"/>
      <c r="GN1461" s="8"/>
      <c r="GO1461" s="8"/>
      <c r="GP1461" s="8"/>
      <c r="GQ1461" s="8"/>
      <c r="GR1461" s="8"/>
      <c r="GS1461" s="8"/>
      <c r="GT1461" s="8"/>
      <c r="GU1461" s="8"/>
      <c r="GV1461" s="8"/>
      <c r="GW1461" s="8"/>
      <c r="GX1461" s="8"/>
      <c r="GY1461" s="8"/>
      <c r="GZ1461" s="8"/>
      <c r="HA1461" s="8"/>
      <c r="HB1461" s="8"/>
      <c r="HC1461" s="8"/>
      <c r="HD1461" s="8"/>
      <c r="HE1461" s="8"/>
      <c r="HF1461" s="8"/>
      <c r="HG1461" s="8"/>
      <c r="HH1461" s="8"/>
      <c r="HI1461" s="8"/>
      <c r="HJ1461" s="8"/>
      <c r="HK1461" s="8"/>
      <c r="HL1461" s="8"/>
      <c r="HM1461" s="8"/>
      <c r="HN1461" s="8"/>
      <c r="HO1461" s="8"/>
      <c r="HP1461" s="8"/>
      <c r="HQ1461" s="8"/>
      <c r="HR1461" s="8"/>
      <c r="HS1461" s="8"/>
      <c r="HT1461" s="8"/>
      <c r="HU1461" s="8"/>
      <c r="HV1461" s="8"/>
      <c r="HW1461" s="8"/>
      <c r="HX1461" s="8"/>
      <c r="HY1461" s="8"/>
      <c r="HZ1461" s="8"/>
      <c r="IA1461" s="8"/>
      <c r="IB1461" s="8"/>
      <c r="IC1461" s="8"/>
      <c r="ID1461" s="8"/>
      <c r="IE1461" s="8"/>
      <c r="IF1461" s="8"/>
    </row>
    <row r="1462" spans="1:240">
      <c r="A1462" s="14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  <c r="AJ1462" s="23"/>
      <c r="AK1462" s="23"/>
      <c r="AL1462" s="23"/>
      <c r="AM1462" s="23"/>
      <c r="AN1462" s="23"/>
      <c r="AO1462" s="8"/>
      <c r="AP1462" s="8"/>
      <c r="AQ1462" s="8"/>
      <c r="AR1462" s="8"/>
      <c r="AS1462" s="8"/>
      <c r="AT1462" s="8"/>
      <c r="AU1462" s="8"/>
      <c r="AV1462" s="8"/>
      <c r="AW1462" s="8"/>
      <c r="AX1462" s="8"/>
      <c r="AY1462" s="8"/>
      <c r="AZ1462" s="8"/>
      <c r="BA1462" s="8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8"/>
      <c r="BS1462" s="8"/>
      <c r="BT1462" s="8"/>
      <c r="BU1462" s="8"/>
      <c r="BV1462" s="8"/>
      <c r="BW1462" s="8"/>
      <c r="BX1462" s="8"/>
      <c r="BY1462" s="8"/>
      <c r="BZ1462" s="8"/>
      <c r="CA1462" s="8"/>
      <c r="CB1462" s="8"/>
      <c r="CC1462" s="8"/>
      <c r="CD1462" s="8"/>
      <c r="CE1462" s="8"/>
      <c r="CF1462" s="8"/>
      <c r="CG1462" s="8"/>
      <c r="CH1462" s="8"/>
      <c r="CI1462" s="8"/>
      <c r="CJ1462" s="8"/>
      <c r="CK1462" s="8"/>
      <c r="CL1462" s="8"/>
      <c r="CM1462" s="8"/>
      <c r="CN1462" s="8"/>
      <c r="CO1462" s="8"/>
      <c r="CP1462" s="8"/>
      <c r="CQ1462" s="8"/>
      <c r="CR1462" s="8"/>
      <c r="CS1462" s="8"/>
      <c r="CT1462" s="8"/>
      <c r="CU1462" s="8"/>
      <c r="CV1462" s="8"/>
      <c r="CW1462" s="8"/>
      <c r="CX1462" s="8"/>
      <c r="CY1462" s="8"/>
      <c r="CZ1462" s="8"/>
      <c r="DA1462" s="8"/>
      <c r="DB1462" s="8"/>
      <c r="DC1462" s="8"/>
      <c r="DD1462" s="8"/>
      <c r="DE1462" s="8"/>
      <c r="DF1462" s="8"/>
      <c r="DG1462" s="8"/>
      <c r="DH1462" s="8"/>
      <c r="DI1462" s="8"/>
      <c r="DJ1462" s="8"/>
      <c r="DK1462" s="8"/>
      <c r="DL1462" s="8"/>
      <c r="DM1462" s="8"/>
      <c r="DN1462" s="8"/>
      <c r="DO1462" s="8"/>
      <c r="DP1462" s="8"/>
      <c r="DQ1462" s="8"/>
      <c r="DR1462" s="8"/>
      <c r="DS1462" s="8"/>
      <c r="DT1462" s="8"/>
      <c r="DU1462" s="8"/>
      <c r="DV1462" s="8"/>
      <c r="DW1462" s="8"/>
      <c r="DX1462" s="8"/>
      <c r="DY1462" s="8"/>
      <c r="DZ1462" s="8"/>
      <c r="EA1462" s="8"/>
      <c r="EB1462" s="8"/>
      <c r="EC1462" s="8"/>
      <c r="ED1462" s="8"/>
      <c r="EE1462" s="8"/>
      <c r="EF1462" s="8"/>
      <c r="EG1462" s="8"/>
      <c r="EH1462" s="8"/>
      <c r="EI1462" s="8"/>
      <c r="EJ1462" s="8"/>
      <c r="EK1462" s="8"/>
      <c r="EL1462" s="8"/>
      <c r="EM1462" s="8"/>
      <c r="EN1462" s="8"/>
      <c r="EO1462" s="8"/>
      <c r="EP1462" s="8"/>
      <c r="EQ1462" s="8"/>
      <c r="ER1462" s="8"/>
      <c r="ES1462" s="8"/>
      <c r="ET1462" s="8"/>
      <c r="EU1462" s="8"/>
      <c r="EV1462" s="8"/>
      <c r="EW1462" s="8"/>
      <c r="EX1462" s="8"/>
      <c r="EY1462" s="8"/>
      <c r="EZ1462" s="8"/>
      <c r="FA1462" s="8"/>
      <c r="FB1462" s="8"/>
      <c r="FC1462" s="8"/>
      <c r="FD1462" s="8"/>
      <c r="FE1462" s="8"/>
      <c r="FF1462" s="8"/>
      <c r="FG1462" s="8"/>
      <c r="FH1462" s="8"/>
      <c r="FI1462" s="8"/>
      <c r="FJ1462" s="8"/>
      <c r="FK1462" s="8"/>
      <c r="FL1462" s="8"/>
      <c r="FM1462" s="8"/>
      <c r="FN1462" s="8"/>
      <c r="FO1462" s="8"/>
      <c r="FP1462" s="8"/>
      <c r="FQ1462" s="8"/>
      <c r="FR1462" s="8"/>
      <c r="FS1462" s="8"/>
      <c r="FT1462" s="8"/>
      <c r="FU1462" s="8"/>
      <c r="FV1462" s="8"/>
      <c r="FW1462" s="8"/>
      <c r="FX1462" s="8"/>
      <c r="FY1462" s="8"/>
      <c r="FZ1462" s="8"/>
      <c r="GA1462" s="8"/>
      <c r="GB1462" s="8"/>
      <c r="GC1462" s="8"/>
      <c r="GD1462" s="8"/>
      <c r="GE1462" s="8"/>
      <c r="GF1462" s="8"/>
      <c r="GG1462" s="8"/>
      <c r="GH1462" s="8"/>
      <c r="GI1462" s="8"/>
      <c r="GJ1462" s="8"/>
      <c r="GK1462" s="8"/>
      <c r="GL1462" s="8"/>
      <c r="GM1462" s="8"/>
      <c r="GN1462" s="8"/>
      <c r="GO1462" s="8"/>
      <c r="GP1462" s="8"/>
      <c r="GQ1462" s="8"/>
      <c r="GR1462" s="8"/>
      <c r="GS1462" s="8"/>
      <c r="GT1462" s="8"/>
      <c r="GU1462" s="8"/>
      <c r="GV1462" s="8"/>
      <c r="GW1462" s="8"/>
      <c r="GX1462" s="8"/>
      <c r="GY1462" s="8"/>
      <c r="GZ1462" s="8"/>
      <c r="HA1462" s="8"/>
      <c r="HB1462" s="8"/>
      <c r="HC1462" s="8"/>
      <c r="HD1462" s="8"/>
      <c r="HE1462" s="8"/>
      <c r="HF1462" s="8"/>
      <c r="HG1462" s="8"/>
      <c r="HH1462" s="8"/>
      <c r="HI1462" s="8"/>
      <c r="HJ1462" s="8"/>
      <c r="HK1462" s="8"/>
      <c r="HL1462" s="8"/>
      <c r="HM1462" s="8"/>
      <c r="HN1462" s="8"/>
      <c r="HO1462" s="8"/>
      <c r="HP1462" s="8"/>
      <c r="HQ1462" s="8"/>
      <c r="HR1462" s="8"/>
      <c r="HS1462" s="8"/>
      <c r="HT1462" s="8"/>
      <c r="HU1462" s="8"/>
      <c r="HV1462" s="8"/>
      <c r="HW1462" s="8"/>
      <c r="HX1462" s="8"/>
      <c r="HY1462" s="8"/>
      <c r="HZ1462" s="8"/>
      <c r="IA1462" s="8"/>
      <c r="IB1462" s="8"/>
      <c r="IC1462" s="8"/>
      <c r="ID1462" s="8"/>
      <c r="IE1462" s="8"/>
      <c r="IF1462" s="8"/>
    </row>
    <row r="1463" spans="1:240">
      <c r="A1463" s="14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8"/>
      <c r="AP1463" s="8"/>
      <c r="AQ1463" s="8"/>
      <c r="AR1463" s="8"/>
      <c r="AS1463" s="8"/>
      <c r="AT1463" s="8"/>
      <c r="AU1463" s="8"/>
      <c r="AV1463" s="8"/>
      <c r="AW1463" s="8"/>
      <c r="AX1463" s="8"/>
      <c r="AY1463" s="8"/>
      <c r="AZ1463" s="8"/>
      <c r="BA1463" s="8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8"/>
      <c r="BS1463" s="8"/>
      <c r="BT1463" s="8"/>
      <c r="BU1463" s="8"/>
      <c r="BV1463" s="8"/>
      <c r="BW1463" s="8"/>
      <c r="BX1463" s="8"/>
      <c r="BY1463" s="8"/>
      <c r="BZ1463" s="8"/>
      <c r="CA1463" s="8"/>
      <c r="CB1463" s="8"/>
      <c r="CC1463" s="8"/>
      <c r="CD1463" s="8"/>
      <c r="CE1463" s="8"/>
      <c r="CF1463" s="8"/>
      <c r="CG1463" s="8"/>
      <c r="CH1463" s="8"/>
      <c r="CI1463" s="8"/>
      <c r="CJ1463" s="8"/>
      <c r="CK1463" s="8"/>
      <c r="CL1463" s="8"/>
      <c r="CM1463" s="8"/>
      <c r="CN1463" s="8"/>
      <c r="CO1463" s="8"/>
      <c r="CP1463" s="8"/>
      <c r="CQ1463" s="8"/>
      <c r="CR1463" s="8"/>
      <c r="CS1463" s="8"/>
      <c r="CT1463" s="8"/>
      <c r="CU1463" s="8"/>
      <c r="CV1463" s="8"/>
      <c r="CW1463" s="8"/>
      <c r="CX1463" s="8"/>
      <c r="CY1463" s="8"/>
      <c r="CZ1463" s="8"/>
      <c r="DA1463" s="8"/>
      <c r="DB1463" s="8"/>
      <c r="DC1463" s="8"/>
      <c r="DD1463" s="8"/>
      <c r="DE1463" s="8"/>
      <c r="DF1463" s="8"/>
      <c r="DG1463" s="8"/>
      <c r="DH1463" s="8"/>
      <c r="DI1463" s="8"/>
      <c r="DJ1463" s="8"/>
      <c r="DK1463" s="8"/>
      <c r="DL1463" s="8"/>
      <c r="DM1463" s="8"/>
      <c r="DN1463" s="8"/>
      <c r="DO1463" s="8"/>
      <c r="DP1463" s="8"/>
      <c r="DQ1463" s="8"/>
      <c r="DR1463" s="8"/>
      <c r="DS1463" s="8"/>
      <c r="DT1463" s="8"/>
      <c r="DU1463" s="8"/>
      <c r="DV1463" s="8"/>
      <c r="DW1463" s="8"/>
      <c r="DX1463" s="8"/>
      <c r="DY1463" s="8"/>
      <c r="DZ1463" s="8"/>
      <c r="EA1463" s="8"/>
      <c r="EB1463" s="8"/>
      <c r="EC1463" s="8"/>
      <c r="ED1463" s="8"/>
      <c r="EE1463" s="8"/>
      <c r="EF1463" s="8"/>
      <c r="EG1463" s="8"/>
      <c r="EH1463" s="8"/>
      <c r="EI1463" s="8"/>
      <c r="EJ1463" s="8"/>
      <c r="EK1463" s="8"/>
      <c r="EL1463" s="8"/>
      <c r="EM1463" s="8"/>
      <c r="EN1463" s="8"/>
      <c r="EO1463" s="8"/>
      <c r="EP1463" s="8"/>
      <c r="EQ1463" s="8"/>
      <c r="ER1463" s="8"/>
      <c r="ES1463" s="8"/>
      <c r="ET1463" s="8"/>
      <c r="EU1463" s="8"/>
      <c r="EV1463" s="8"/>
      <c r="EW1463" s="8"/>
      <c r="EX1463" s="8"/>
      <c r="EY1463" s="8"/>
      <c r="EZ1463" s="8"/>
      <c r="FA1463" s="8"/>
      <c r="FB1463" s="8"/>
      <c r="FC1463" s="8"/>
      <c r="FD1463" s="8"/>
      <c r="FE1463" s="8"/>
      <c r="FF1463" s="8"/>
      <c r="FG1463" s="8"/>
      <c r="FH1463" s="8"/>
      <c r="FI1463" s="8"/>
      <c r="FJ1463" s="8"/>
      <c r="FK1463" s="8"/>
      <c r="FL1463" s="8"/>
      <c r="FM1463" s="8"/>
      <c r="FN1463" s="8"/>
      <c r="FO1463" s="8"/>
      <c r="FP1463" s="8"/>
      <c r="FQ1463" s="8"/>
      <c r="FR1463" s="8"/>
      <c r="FS1463" s="8"/>
      <c r="FT1463" s="8"/>
      <c r="FU1463" s="8"/>
      <c r="FV1463" s="8"/>
      <c r="FW1463" s="8"/>
      <c r="FX1463" s="8"/>
      <c r="FY1463" s="8"/>
      <c r="FZ1463" s="8"/>
      <c r="GA1463" s="8"/>
      <c r="GB1463" s="8"/>
      <c r="GC1463" s="8"/>
      <c r="GD1463" s="8"/>
      <c r="GE1463" s="8"/>
      <c r="GF1463" s="8"/>
      <c r="GG1463" s="8"/>
      <c r="GH1463" s="8"/>
      <c r="GI1463" s="8"/>
      <c r="GJ1463" s="8"/>
      <c r="GK1463" s="8"/>
      <c r="GL1463" s="8"/>
      <c r="GM1463" s="8"/>
      <c r="GN1463" s="8"/>
      <c r="GO1463" s="8"/>
      <c r="GP1463" s="8"/>
      <c r="GQ1463" s="8"/>
      <c r="GR1463" s="8"/>
      <c r="GS1463" s="8"/>
      <c r="GT1463" s="8"/>
      <c r="GU1463" s="8"/>
      <c r="GV1463" s="8"/>
      <c r="GW1463" s="8"/>
      <c r="GX1463" s="8"/>
      <c r="GY1463" s="8"/>
      <c r="GZ1463" s="8"/>
      <c r="HA1463" s="8"/>
      <c r="HB1463" s="8"/>
      <c r="HC1463" s="8"/>
      <c r="HD1463" s="8"/>
      <c r="HE1463" s="8"/>
      <c r="HF1463" s="8"/>
      <c r="HG1463" s="8"/>
      <c r="HH1463" s="8"/>
      <c r="HI1463" s="8"/>
      <c r="HJ1463" s="8"/>
      <c r="HK1463" s="8"/>
      <c r="HL1463" s="8"/>
      <c r="HM1463" s="8"/>
      <c r="HN1463" s="8"/>
      <c r="HO1463" s="8"/>
      <c r="HP1463" s="8"/>
      <c r="HQ1463" s="8"/>
      <c r="HR1463" s="8"/>
      <c r="HS1463" s="8"/>
      <c r="HT1463" s="8"/>
      <c r="HU1463" s="8"/>
      <c r="HV1463" s="8"/>
      <c r="HW1463" s="8"/>
      <c r="HX1463" s="8"/>
      <c r="HY1463" s="8"/>
      <c r="HZ1463" s="8"/>
      <c r="IA1463" s="8"/>
      <c r="IB1463" s="8"/>
      <c r="IC1463" s="8"/>
      <c r="ID1463" s="8"/>
      <c r="IE1463" s="8"/>
      <c r="IF1463" s="8"/>
    </row>
    <row r="1464" spans="1:240">
      <c r="A1464" s="14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  <c r="AJ1464" s="23"/>
      <c r="AK1464" s="23"/>
      <c r="AL1464" s="23"/>
      <c r="AM1464" s="23"/>
      <c r="AN1464" s="23"/>
      <c r="AO1464" s="8"/>
      <c r="AP1464" s="8"/>
      <c r="AQ1464" s="8"/>
      <c r="AR1464" s="8"/>
      <c r="AS1464" s="8"/>
      <c r="AT1464" s="8"/>
      <c r="AU1464" s="8"/>
      <c r="AV1464" s="8"/>
      <c r="AW1464" s="8"/>
      <c r="AX1464" s="8"/>
      <c r="AY1464" s="8"/>
      <c r="AZ1464" s="8"/>
      <c r="BA1464" s="8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8"/>
      <c r="BS1464" s="8"/>
      <c r="BT1464" s="8"/>
      <c r="BU1464" s="8"/>
      <c r="BV1464" s="8"/>
      <c r="BW1464" s="8"/>
      <c r="BX1464" s="8"/>
      <c r="BY1464" s="8"/>
      <c r="BZ1464" s="8"/>
      <c r="CA1464" s="8"/>
      <c r="CB1464" s="8"/>
      <c r="CC1464" s="8"/>
      <c r="CD1464" s="8"/>
      <c r="CE1464" s="8"/>
      <c r="CF1464" s="8"/>
      <c r="CG1464" s="8"/>
      <c r="CH1464" s="8"/>
      <c r="CI1464" s="8"/>
      <c r="CJ1464" s="8"/>
      <c r="CK1464" s="8"/>
      <c r="CL1464" s="8"/>
      <c r="CM1464" s="8"/>
      <c r="CN1464" s="8"/>
      <c r="CO1464" s="8"/>
      <c r="CP1464" s="8"/>
      <c r="CQ1464" s="8"/>
      <c r="CR1464" s="8"/>
      <c r="CS1464" s="8"/>
      <c r="CT1464" s="8"/>
      <c r="CU1464" s="8"/>
      <c r="CV1464" s="8"/>
      <c r="CW1464" s="8"/>
      <c r="CX1464" s="8"/>
      <c r="CY1464" s="8"/>
      <c r="CZ1464" s="8"/>
      <c r="DA1464" s="8"/>
      <c r="DB1464" s="8"/>
      <c r="DC1464" s="8"/>
      <c r="DD1464" s="8"/>
      <c r="DE1464" s="8"/>
      <c r="DF1464" s="8"/>
      <c r="DG1464" s="8"/>
      <c r="DH1464" s="8"/>
      <c r="DI1464" s="8"/>
      <c r="DJ1464" s="8"/>
      <c r="DK1464" s="8"/>
      <c r="DL1464" s="8"/>
      <c r="DM1464" s="8"/>
      <c r="DN1464" s="8"/>
      <c r="DO1464" s="8"/>
      <c r="DP1464" s="8"/>
      <c r="DQ1464" s="8"/>
      <c r="DR1464" s="8"/>
      <c r="DS1464" s="8"/>
      <c r="DT1464" s="8"/>
      <c r="DU1464" s="8"/>
      <c r="DV1464" s="8"/>
      <c r="DW1464" s="8"/>
      <c r="DX1464" s="8"/>
      <c r="DY1464" s="8"/>
      <c r="DZ1464" s="8"/>
      <c r="EA1464" s="8"/>
      <c r="EB1464" s="8"/>
      <c r="EC1464" s="8"/>
      <c r="ED1464" s="8"/>
      <c r="EE1464" s="8"/>
      <c r="EF1464" s="8"/>
      <c r="EG1464" s="8"/>
      <c r="EH1464" s="8"/>
      <c r="EI1464" s="8"/>
      <c r="EJ1464" s="8"/>
      <c r="EK1464" s="8"/>
      <c r="EL1464" s="8"/>
      <c r="EM1464" s="8"/>
      <c r="EN1464" s="8"/>
      <c r="EO1464" s="8"/>
      <c r="EP1464" s="8"/>
      <c r="EQ1464" s="8"/>
      <c r="ER1464" s="8"/>
      <c r="ES1464" s="8"/>
      <c r="ET1464" s="8"/>
      <c r="EU1464" s="8"/>
      <c r="EV1464" s="8"/>
      <c r="EW1464" s="8"/>
      <c r="EX1464" s="8"/>
      <c r="EY1464" s="8"/>
      <c r="EZ1464" s="8"/>
      <c r="FA1464" s="8"/>
      <c r="FB1464" s="8"/>
      <c r="FC1464" s="8"/>
      <c r="FD1464" s="8"/>
      <c r="FE1464" s="8"/>
      <c r="FF1464" s="8"/>
      <c r="FG1464" s="8"/>
      <c r="FH1464" s="8"/>
      <c r="FI1464" s="8"/>
      <c r="FJ1464" s="8"/>
      <c r="FK1464" s="8"/>
      <c r="FL1464" s="8"/>
      <c r="FM1464" s="8"/>
      <c r="FN1464" s="8"/>
      <c r="FO1464" s="8"/>
      <c r="FP1464" s="8"/>
      <c r="FQ1464" s="8"/>
      <c r="FR1464" s="8"/>
      <c r="FS1464" s="8"/>
      <c r="FT1464" s="8"/>
      <c r="FU1464" s="8"/>
      <c r="FV1464" s="8"/>
      <c r="FW1464" s="8"/>
      <c r="FX1464" s="8"/>
      <c r="FY1464" s="8"/>
      <c r="FZ1464" s="8"/>
      <c r="GA1464" s="8"/>
      <c r="GB1464" s="8"/>
      <c r="GC1464" s="8"/>
      <c r="GD1464" s="8"/>
      <c r="GE1464" s="8"/>
      <c r="GF1464" s="8"/>
      <c r="GG1464" s="8"/>
      <c r="GH1464" s="8"/>
      <c r="GI1464" s="8"/>
      <c r="GJ1464" s="8"/>
      <c r="GK1464" s="8"/>
      <c r="GL1464" s="8"/>
      <c r="GM1464" s="8"/>
      <c r="GN1464" s="8"/>
      <c r="GO1464" s="8"/>
      <c r="GP1464" s="8"/>
      <c r="GQ1464" s="8"/>
      <c r="GR1464" s="8"/>
      <c r="GS1464" s="8"/>
      <c r="GT1464" s="8"/>
      <c r="GU1464" s="8"/>
      <c r="GV1464" s="8"/>
      <c r="GW1464" s="8"/>
      <c r="GX1464" s="8"/>
      <c r="GY1464" s="8"/>
      <c r="GZ1464" s="8"/>
      <c r="HA1464" s="8"/>
      <c r="HB1464" s="8"/>
      <c r="HC1464" s="8"/>
      <c r="HD1464" s="8"/>
      <c r="HE1464" s="8"/>
      <c r="HF1464" s="8"/>
      <c r="HG1464" s="8"/>
      <c r="HH1464" s="8"/>
      <c r="HI1464" s="8"/>
      <c r="HJ1464" s="8"/>
      <c r="HK1464" s="8"/>
      <c r="HL1464" s="8"/>
      <c r="HM1464" s="8"/>
      <c r="HN1464" s="8"/>
      <c r="HO1464" s="8"/>
      <c r="HP1464" s="8"/>
      <c r="HQ1464" s="8"/>
      <c r="HR1464" s="8"/>
      <c r="HS1464" s="8"/>
      <c r="HT1464" s="8"/>
      <c r="HU1464" s="8"/>
      <c r="HV1464" s="8"/>
      <c r="HW1464" s="8"/>
      <c r="HX1464" s="8"/>
      <c r="HY1464" s="8"/>
      <c r="HZ1464" s="8"/>
      <c r="IA1464" s="8"/>
      <c r="IB1464" s="8"/>
      <c r="IC1464" s="8"/>
      <c r="ID1464" s="8"/>
      <c r="IE1464" s="8"/>
      <c r="IF1464" s="8"/>
    </row>
    <row r="1465" spans="1:240">
      <c r="A1465" s="14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3"/>
      <c r="AB1465" s="23"/>
      <c r="AC1465" s="23"/>
      <c r="AD1465" s="23"/>
      <c r="AE1465" s="23"/>
      <c r="AF1465" s="23"/>
      <c r="AG1465" s="23"/>
      <c r="AH1465" s="23"/>
      <c r="AI1465" s="23"/>
      <c r="AJ1465" s="23"/>
      <c r="AK1465" s="23"/>
      <c r="AL1465" s="23"/>
      <c r="AM1465" s="23"/>
      <c r="AN1465" s="23"/>
      <c r="AO1465" s="8"/>
      <c r="AP1465" s="8"/>
      <c r="AQ1465" s="8"/>
      <c r="AR1465" s="8"/>
      <c r="AS1465" s="8"/>
      <c r="AT1465" s="8"/>
      <c r="AU1465" s="8"/>
      <c r="AV1465" s="8"/>
      <c r="AW1465" s="8"/>
      <c r="AX1465" s="8"/>
      <c r="AY1465" s="8"/>
      <c r="AZ1465" s="8"/>
      <c r="BA1465" s="8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8"/>
      <c r="BS1465" s="8"/>
      <c r="BT1465" s="8"/>
      <c r="BU1465" s="8"/>
      <c r="BV1465" s="8"/>
      <c r="BW1465" s="8"/>
      <c r="BX1465" s="8"/>
      <c r="BY1465" s="8"/>
      <c r="BZ1465" s="8"/>
      <c r="CA1465" s="8"/>
      <c r="CB1465" s="8"/>
      <c r="CC1465" s="8"/>
      <c r="CD1465" s="8"/>
      <c r="CE1465" s="8"/>
      <c r="CF1465" s="8"/>
      <c r="CG1465" s="8"/>
      <c r="CH1465" s="8"/>
      <c r="CI1465" s="8"/>
      <c r="CJ1465" s="8"/>
      <c r="CK1465" s="8"/>
      <c r="CL1465" s="8"/>
      <c r="CM1465" s="8"/>
      <c r="CN1465" s="8"/>
      <c r="CO1465" s="8"/>
      <c r="CP1465" s="8"/>
      <c r="CQ1465" s="8"/>
      <c r="CR1465" s="8"/>
      <c r="CS1465" s="8"/>
      <c r="CT1465" s="8"/>
      <c r="CU1465" s="8"/>
      <c r="CV1465" s="8"/>
      <c r="CW1465" s="8"/>
      <c r="CX1465" s="8"/>
      <c r="CY1465" s="8"/>
      <c r="CZ1465" s="8"/>
      <c r="DA1465" s="8"/>
      <c r="DB1465" s="8"/>
      <c r="DC1465" s="8"/>
      <c r="DD1465" s="8"/>
      <c r="DE1465" s="8"/>
      <c r="DF1465" s="8"/>
      <c r="DG1465" s="8"/>
      <c r="DH1465" s="8"/>
      <c r="DI1465" s="8"/>
      <c r="DJ1465" s="8"/>
      <c r="DK1465" s="8"/>
      <c r="DL1465" s="8"/>
      <c r="DM1465" s="8"/>
      <c r="DN1465" s="8"/>
      <c r="DO1465" s="8"/>
      <c r="DP1465" s="8"/>
      <c r="DQ1465" s="8"/>
      <c r="DR1465" s="8"/>
      <c r="DS1465" s="8"/>
      <c r="DT1465" s="8"/>
      <c r="DU1465" s="8"/>
      <c r="DV1465" s="8"/>
      <c r="DW1465" s="8"/>
      <c r="DX1465" s="8"/>
      <c r="DY1465" s="8"/>
      <c r="DZ1465" s="8"/>
      <c r="EA1465" s="8"/>
      <c r="EB1465" s="8"/>
      <c r="EC1465" s="8"/>
      <c r="ED1465" s="8"/>
      <c r="EE1465" s="8"/>
      <c r="EF1465" s="8"/>
      <c r="EG1465" s="8"/>
      <c r="EH1465" s="8"/>
      <c r="EI1465" s="8"/>
      <c r="EJ1465" s="8"/>
      <c r="EK1465" s="8"/>
      <c r="EL1465" s="8"/>
      <c r="EM1465" s="8"/>
      <c r="EN1465" s="8"/>
      <c r="EO1465" s="8"/>
      <c r="EP1465" s="8"/>
      <c r="EQ1465" s="8"/>
      <c r="ER1465" s="8"/>
      <c r="ES1465" s="8"/>
      <c r="ET1465" s="8"/>
      <c r="EU1465" s="8"/>
      <c r="EV1465" s="8"/>
      <c r="EW1465" s="8"/>
      <c r="EX1465" s="8"/>
      <c r="EY1465" s="8"/>
      <c r="EZ1465" s="8"/>
      <c r="FA1465" s="8"/>
      <c r="FB1465" s="8"/>
      <c r="FC1465" s="8"/>
      <c r="FD1465" s="8"/>
      <c r="FE1465" s="8"/>
      <c r="FF1465" s="8"/>
      <c r="FG1465" s="8"/>
      <c r="FH1465" s="8"/>
      <c r="FI1465" s="8"/>
      <c r="FJ1465" s="8"/>
      <c r="FK1465" s="8"/>
      <c r="FL1465" s="8"/>
      <c r="FM1465" s="8"/>
      <c r="FN1465" s="8"/>
      <c r="FO1465" s="8"/>
      <c r="FP1465" s="8"/>
      <c r="FQ1465" s="8"/>
      <c r="FR1465" s="8"/>
      <c r="FS1465" s="8"/>
      <c r="FT1465" s="8"/>
      <c r="FU1465" s="8"/>
      <c r="FV1465" s="8"/>
      <c r="FW1465" s="8"/>
      <c r="FX1465" s="8"/>
      <c r="FY1465" s="8"/>
      <c r="FZ1465" s="8"/>
      <c r="GA1465" s="8"/>
      <c r="GB1465" s="8"/>
      <c r="GC1465" s="8"/>
      <c r="GD1465" s="8"/>
      <c r="GE1465" s="8"/>
      <c r="GF1465" s="8"/>
      <c r="GG1465" s="8"/>
      <c r="GH1465" s="8"/>
      <c r="GI1465" s="8"/>
      <c r="GJ1465" s="8"/>
      <c r="GK1465" s="8"/>
      <c r="GL1465" s="8"/>
      <c r="GM1465" s="8"/>
      <c r="GN1465" s="8"/>
      <c r="GO1465" s="8"/>
      <c r="GP1465" s="8"/>
      <c r="GQ1465" s="8"/>
      <c r="GR1465" s="8"/>
      <c r="GS1465" s="8"/>
      <c r="GT1465" s="8"/>
      <c r="GU1465" s="8"/>
      <c r="GV1465" s="8"/>
      <c r="GW1465" s="8"/>
      <c r="GX1465" s="8"/>
      <c r="GY1465" s="8"/>
      <c r="GZ1465" s="8"/>
      <c r="HA1465" s="8"/>
      <c r="HB1465" s="8"/>
      <c r="HC1465" s="8"/>
      <c r="HD1465" s="8"/>
      <c r="HE1465" s="8"/>
      <c r="HF1465" s="8"/>
      <c r="HG1465" s="8"/>
      <c r="HH1465" s="8"/>
      <c r="HI1465" s="8"/>
      <c r="HJ1465" s="8"/>
      <c r="HK1465" s="8"/>
      <c r="HL1465" s="8"/>
      <c r="HM1465" s="8"/>
      <c r="HN1465" s="8"/>
      <c r="HO1465" s="8"/>
      <c r="HP1465" s="8"/>
      <c r="HQ1465" s="8"/>
      <c r="HR1465" s="8"/>
      <c r="HS1465" s="8"/>
      <c r="HT1465" s="8"/>
      <c r="HU1465" s="8"/>
      <c r="HV1465" s="8"/>
      <c r="HW1465" s="8"/>
      <c r="HX1465" s="8"/>
      <c r="HY1465" s="8"/>
      <c r="HZ1465" s="8"/>
      <c r="IA1465" s="8"/>
      <c r="IB1465" s="8"/>
      <c r="IC1465" s="8"/>
      <c r="ID1465" s="8"/>
      <c r="IE1465" s="8"/>
      <c r="IF1465" s="8"/>
    </row>
    <row r="1466" spans="1:240">
      <c r="A1466" s="14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3"/>
      <c r="AB1466" s="23"/>
      <c r="AC1466" s="23"/>
      <c r="AD1466" s="23"/>
      <c r="AE1466" s="23"/>
      <c r="AF1466" s="23"/>
      <c r="AG1466" s="23"/>
      <c r="AH1466" s="23"/>
      <c r="AI1466" s="23"/>
      <c r="AJ1466" s="23"/>
      <c r="AK1466" s="23"/>
      <c r="AL1466" s="23"/>
      <c r="AM1466" s="23"/>
      <c r="AN1466" s="23"/>
      <c r="AO1466" s="8"/>
      <c r="AP1466" s="8"/>
      <c r="AQ1466" s="8"/>
      <c r="AR1466" s="8"/>
      <c r="AS1466" s="8"/>
      <c r="AT1466" s="8"/>
      <c r="AU1466" s="8"/>
      <c r="AV1466" s="8"/>
      <c r="AW1466" s="8"/>
      <c r="AX1466" s="8"/>
      <c r="AY1466" s="8"/>
      <c r="AZ1466" s="8"/>
      <c r="BA1466" s="8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8"/>
      <c r="BS1466" s="8"/>
      <c r="BT1466" s="8"/>
      <c r="BU1466" s="8"/>
      <c r="BV1466" s="8"/>
      <c r="BW1466" s="8"/>
      <c r="BX1466" s="8"/>
      <c r="BY1466" s="8"/>
      <c r="BZ1466" s="8"/>
      <c r="CA1466" s="8"/>
      <c r="CB1466" s="8"/>
      <c r="CC1466" s="8"/>
      <c r="CD1466" s="8"/>
      <c r="CE1466" s="8"/>
      <c r="CF1466" s="8"/>
      <c r="CG1466" s="8"/>
      <c r="CH1466" s="8"/>
      <c r="CI1466" s="8"/>
      <c r="CJ1466" s="8"/>
      <c r="CK1466" s="8"/>
      <c r="CL1466" s="8"/>
      <c r="CM1466" s="8"/>
      <c r="CN1466" s="8"/>
      <c r="CO1466" s="8"/>
      <c r="CP1466" s="8"/>
      <c r="CQ1466" s="8"/>
      <c r="CR1466" s="8"/>
      <c r="CS1466" s="8"/>
      <c r="CT1466" s="8"/>
      <c r="CU1466" s="8"/>
      <c r="CV1466" s="8"/>
      <c r="CW1466" s="8"/>
      <c r="CX1466" s="8"/>
      <c r="CY1466" s="8"/>
      <c r="CZ1466" s="8"/>
      <c r="DA1466" s="8"/>
      <c r="DB1466" s="8"/>
      <c r="DC1466" s="8"/>
      <c r="DD1466" s="8"/>
      <c r="DE1466" s="8"/>
      <c r="DF1466" s="8"/>
      <c r="DG1466" s="8"/>
      <c r="DH1466" s="8"/>
      <c r="DI1466" s="8"/>
      <c r="DJ1466" s="8"/>
      <c r="DK1466" s="8"/>
      <c r="DL1466" s="8"/>
      <c r="DM1466" s="8"/>
      <c r="DN1466" s="8"/>
      <c r="DO1466" s="8"/>
      <c r="DP1466" s="8"/>
      <c r="DQ1466" s="8"/>
      <c r="DR1466" s="8"/>
      <c r="DS1466" s="8"/>
      <c r="DT1466" s="8"/>
      <c r="DU1466" s="8"/>
      <c r="DV1466" s="8"/>
      <c r="DW1466" s="8"/>
      <c r="DX1466" s="8"/>
      <c r="DY1466" s="8"/>
      <c r="DZ1466" s="8"/>
      <c r="EA1466" s="8"/>
      <c r="EB1466" s="8"/>
      <c r="EC1466" s="8"/>
      <c r="ED1466" s="8"/>
      <c r="EE1466" s="8"/>
      <c r="EF1466" s="8"/>
      <c r="EG1466" s="8"/>
      <c r="EH1466" s="8"/>
      <c r="EI1466" s="8"/>
      <c r="EJ1466" s="8"/>
      <c r="EK1466" s="8"/>
      <c r="EL1466" s="8"/>
      <c r="EM1466" s="8"/>
      <c r="EN1466" s="8"/>
      <c r="EO1466" s="8"/>
      <c r="EP1466" s="8"/>
      <c r="EQ1466" s="8"/>
      <c r="ER1466" s="8"/>
      <c r="ES1466" s="8"/>
      <c r="ET1466" s="8"/>
      <c r="EU1466" s="8"/>
      <c r="EV1466" s="8"/>
      <c r="EW1466" s="8"/>
      <c r="EX1466" s="8"/>
      <c r="EY1466" s="8"/>
      <c r="EZ1466" s="8"/>
      <c r="FA1466" s="8"/>
      <c r="FB1466" s="8"/>
      <c r="FC1466" s="8"/>
      <c r="FD1466" s="8"/>
      <c r="FE1466" s="8"/>
      <c r="FF1466" s="8"/>
      <c r="FG1466" s="8"/>
      <c r="FH1466" s="8"/>
      <c r="FI1466" s="8"/>
      <c r="FJ1466" s="8"/>
      <c r="FK1466" s="8"/>
      <c r="FL1466" s="8"/>
      <c r="FM1466" s="8"/>
      <c r="FN1466" s="8"/>
      <c r="FO1466" s="8"/>
      <c r="FP1466" s="8"/>
      <c r="FQ1466" s="8"/>
      <c r="FR1466" s="8"/>
      <c r="FS1466" s="8"/>
      <c r="FT1466" s="8"/>
      <c r="FU1466" s="8"/>
      <c r="FV1466" s="8"/>
      <c r="FW1466" s="8"/>
      <c r="FX1466" s="8"/>
      <c r="FY1466" s="8"/>
      <c r="FZ1466" s="8"/>
      <c r="GA1466" s="8"/>
      <c r="GB1466" s="8"/>
      <c r="GC1466" s="8"/>
      <c r="GD1466" s="8"/>
      <c r="GE1466" s="8"/>
      <c r="GF1466" s="8"/>
      <c r="GG1466" s="8"/>
      <c r="GH1466" s="8"/>
      <c r="GI1466" s="8"/>
      <c r="GJ1466" s="8"/>
      <c r="GK1466" s="8"/>
      <c r="GL1466" s="8"/>
      <c r="GM1466" s="8"/>
      <c r="GN1466" s="8"/>
      <c r="GO1466" s="8"/>
      <c r="GP1466" s="8"/>
      <c r="GQ1466" s="8"/>
      <c r="GR1466" s="8"/>
      <c r="GS1466" s="8"/>
      <c r="GT1466" s="8"/>
      <c r="GU1466" s="8"/>
      <c r="GV1466" s="8"/>
      <c r="GW1466" s="8"/>
      <c r="GX1466" s="8"/>
      <c r="GY1466" s="8"/>
      <c r="GZ1466" s="8"/>
      <c r="HA1466" s="8"/>
      <c r="HB1466" s="8"/>
      <c r="HC1466" s="8"/>
      <c r="HD1466" s="8"/>
      <c r="HE1466" s="8"/>
      <c r="HF1466" s="8"/>
      <c r="HG1466" s="8"/>
      <c r="HH1466" s="8"/>
      <c r="HI1466" s="8"/>
      <c r="HJ1466" s="8"/>
      <c r="HK1466" s="8"/>
      <c r="HL1466" s="8"/>
      <c r="HM1466" s="8"/>
      <c r="HN1466" s="8"/>
      <c r="HO1466" s="8"/>
      <c r="HP1466" s="8"/>
      <c r="HQ1466" s="8"/>
      <c r="HR1466" s="8"/>
      <c r="HS1466" s="8"/>
      <c r="HT1466" s="8"/>
      <c r="HU1466" s="8"/>
      <c r="HV1466" s="8"/>
      <c r="HW1466" s="8"/>
      <c r="HX1466" s="8"/>
      <c r="HY1466" s="8"/>
      <c r="HZ1466" s="8"/>
      <c r="IA1466" s="8"/>
      <c r="IB1466" s="8"/>
      <c r="IC1466" s="8"/>
      <c r="ID1466" s="8"/>
      <c r="IE1466" s="8"/>
      <c r="IF1466" s="8"/>
    </row>
    <row r="1467" spans="1:240">
      <c r="A1467" s="14"/>
      <c r="B1467" s="23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  <c r="AK1467" s="23"/>
      <c r="AL1467" s="23"/>
      <c r="AM1467" s="23"/>
      <c r="AN1467" s="23"/>
      <c r="AO1467" s="8"/>
      <c r="AP1467" s="8"/>
      <c r="AQ1467" s="8"/>
      <c r="AR1467" s="8"/>
      <c r="AS1467" s="8"/>
      <c r="AT1467" s="8"/>
      <c r="AU1467" s="8"/>
      <c r="AV1467" s="8"/>
      <c r="AW1467" s="8"/>
      <c r="AX1467" s="8"/>
      <c r="AY1467" s="8"/>
      <c r="AZ1467" s="8"/>
      <c r="BA1467" s="8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8"/>
      <c r="BS1467" s="8"/>
      <c r="BT1467" s="8"/>
      <c r="BU1467" s="8"/>
      <c r="BV1467" s="8"/>
      <c r="BW1467" s="8"/>
      <c r="BX1467" s="8"/>
      <c r="BY1467" s="8"/>
      <c r="BZ1467" s="8"/>
      <c r="CA1467" s="8"/>
      <c r="CB1467" s="8"/>
      <c r="CC1467" s="8"/>
      <c r="CD1467" s="8"/>
      <c r="CE1467" s="8"/>
      <c r="CF1467" s="8"/>
      <c r="CG1467" s="8"/>
      <c r="CH1467" s="8"/>
      <c r="CI1467" s="8"/>
      <c r="CJ1467" s="8"/>
      <c r="CK1467" s="8"/>
      <c r="CL1467" s="8"/>
      <c r="CM1467" s="8"/>
      <c r="CN1467" s="8"/>
      <c r="CO1467" s="8"/>
      <c r="CP1467" s="8"/>
      <c r="CQ1467" s="8"/>
      <c r="CR1467" s="8"/>
      <c r="CS1467" s="8"/>
      <c r="CT1467" s="8"/>
      <c r="CU1467" s="8"/>
      <c r="CV1467" s="8"/>
      <c r="CW1467" s="8"/>
      <c r="CX1467" s="8"/>
      <c r="CY1467" s="8"/>
      <c r="CZ1467" s="8"/>
      <c r="DA1467" s="8"/>
      <c r="DB1467" s="8"/>
      <c r="DC1467" s="8"/>
      <c r="DD1467" s="8"/>
      <c r="DE1467" s="8"/>
      <c r="DF1467" s="8"/>
      <c r="DG1467" s="8"/>
      <c r="DH1467" s="8"/>
      <c r="DI1467" s="8"/>
      <c r="DJ1467" s="8"/>
      <c r="DK1467" s="8"/>
      <c r="DL1467" s="8"/>
      <c r="DM1467" s="8"/>
      <c r="DN1467" s="8"/>
      <c r="DO1467" s="8"/>
      <c r="DP1467" s="8"/>
      <c r="DQ1467" s="8"/>
      <c r="DR1467" s="8"/>
      <c r="DS1467" s="8"/>
      <c r="DT1467" s="8"/>
      <c r="DU1467" s="8"/>
      <c r="DV1467" s="8"/>
      <c r="DW1467" s="8"/>
      <c r="DX1467" s="8"/>
      <c r="DY1467" s="8"/>
      <c r="DZ1467" s="8"/>
      <c r="EA1467" s="8"/>
      <c r="EB1467" s="8"/>
      <c r="EC1467" s="8"/>
      <c r="ED1467" s="8"/>
      <c r="EE1467" s="8"/>
      <c r="EF1467" s="8"/>
      <c r="EG1467" s="8"/>
      <c r="EH1467" s="8"/>
      <c r="EI1467" s="8"/>
      <c r="EJ1467" s="8"/>
      <c r="EK1467" s="8"/>
      <c r="EL1467" s="8"/>
      <c r="EM1467" s="8"/>
      <c r="EN1467" s="8"/>
      <c r="EO1467" s="8"/>
      <c r="EP1467" s="8"/>
      <c r="EQ1467" s="8"/>
      <c r="ER1467" s="8"/>
      <c r="ES1467" s="8"/>
      <c r="ET1467" s="8"/>
      <c r="EU1467" s="8"/>
      <c r="EV1467" s="8"/>
      <c r="EW1467" s="8"/>
      <c r="EX1467" s="8"/>
      <c r="EY1467" s="8"/>
      <c r="EZ1467" s="8"/>
      <c r="FA1467" s="8"/>
      <c r="FB1467" s="8"/>
      <c r="FC1467" s="8"/>
      <c r="FD1467" s="8"/>
      <c r="FE1467" s="8"/>
      <c r="FF1467" s="8"/>
      <c r="FG1467" s="8"/>
      <c r="FH1467" s="8"/>
      <c r="FI1467" s="8"/>
      <c r="FJ1467" s="8"/>
      <c r="FK1467" s="8"/>
      <c r="FL1467" s="8"/>
      <c r="FM1467" s="8"/>
      <c r="FN1467" s="8"/>
      <c r="FO1467" s="8"/>
      <c r="FP1467" s="8"/>
      <c r="FQ1467" s="8"/>
      <c r="FR1467" s="8"/>
      <c r="FS1467" s="8"/>
      <c r="FT1467" s="8"/>
      <c r="FU1467" s="8"/>
      <c r="FV1467" s="8"/>
      <c r="FW1467" s="8"/>
      <c r="FX1467" s="8"/>
      <c r="FY1467" s="8"/>
      <c r="FZ1467" s="8"/>
      <c r="GA1467" s="8"/>
      <c r="GB1467" s="8"/>
      <c r="GC1467" s="8"/>
      <c r="GD1467" s="8"/>
      <c r="GE1467" s="8"/>
      <c r="GF1467" s="8"/>
      <c r="GG1467" s="8"/>
      <c r="GH1467" s="8"/>
      <c r="GI1467" s="8"/>
      <c r="GJ1467" s="8"/>
      <c r="GK1467" s="8"/>
      <c r="GL1467" s="8"/>
      <c r="GM1467" s="8"/>
      <c r="GN1467" s="8"/>
      <c r="GO1467" s="8"/>
      <c r="GP1467" s="8"/>
      <c r="GQ1467" s="8"/>
      <c r="GR1467" s="8"/>
      <c r="GS1467" s="8"/>
      <c r="GT1467" s="8"/>
      <c r="GU1467" s="8"/>
      <c r="GV1467" s="8"/>
      <c r="GW1467" s="8"/>
      <c r="GX1467" s="8"/>
      <c r="GY1467" s="8"/>
      <c r="GZ1467" s="8"/>
      <c r="HA1467" s="8"/>
      <c r="HB1467" s="8"/>
      <c r="HC1467" s="8"/>
      <c r="HD1467" s="8"/>
      <c r="HE1467" s="8"/>
      <c r="HF1467" s="8"/>
      <c r="HG1467" s="8"/>
      <c r="HH1467" s="8"/>
      <c r="HI1467" s="8"/>
      <c r="HJ1467" s="8"/>
      <c r="HK1467" s="8"/>
      <c r="HL1467" s="8"/>
      <c r="HM1467" s="8"/>
      <c r="HN1467" s="8"/>
      <c r="HO1467" s="8"/>
      <c r="HP1467" s="8"/>
      <c r="HQ1467" s="8"/>
      <c r="HR1467" s="8"/>
      <c r="HS1467" s="8"/>
      <c r="HT1467" s="8"/>
      <c r="HU1467" s="8"/>
      <c r="HV1467" s="8"/>
      <c r="HW1467" s="8"/>
      <c r="HX1467" s="8"/>
      <c r="HY1467" s="8"/>
      <c r="HZ1467" s="8"/>
      <c r="IA1467" s="8"/>
      <c r="IB1467" s="8"/>
      <c r="IC1467" s="8"/>
      <c r="ID1467" s="8"/>
      <c r="IE1467" s="8"/>
      <c r="IF1467" s="8"/>
    </row>
    <row r="1468" spans="1:240">
      <c r="A1468" s="14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  <c r="AJ1468" s="23"/>
      <c r="AK1468" s="23"/>
      <c r="AL1468" s="23"/>
      <c r="AM1468" s="23"/>
      <c r="AN1468" s="23"/>
      <c r="AO1468" s="8"/>
      <c r="AP1468" s="8"/>
      <c r="AQ1468" s="8"/>
      <c r="AR1468" s="8"/>
      <c r="AS1468" s="8"/>
      <c r="AT1468" s="8"/>
      <c r="AU1468" s="8"/>
      <c r="AV1468" s="8"/>
      <c r="AW1468" s="8"/>
      <c r="AX1468" s="8"/>
      <c r="AY1468" s="8"/>
      <c r="AZ1468" s="8"/>
      <c r="BA1468" s="8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8"/>
      <c r="BS1468" s="8"/>
      <c r="BT1468" s="8"/>
      <c r="BU1468" s="8"/>
      <c r="BV1468" s="8"/>
      <c r="BW1468" s="8"/>
      <c r="BX1468" s="8"/>
      <c r="BY1468" s="8"/>
      <c r="BZ1468" s="8"/>
      <c r="CA1468" s="8"/>
      <c r="CB1468" s="8"/>
      <c r="CC1468" s="8"/>
      <c r="CD1468" s="8"/>
      <c r="CE1468" s="8"/>
      <c r="CF1468" s="8"/>
      <c r="CG1468" s="8"/>
      <c r="CH1468" s="8"/>
      <c r="CI1468" s="8"/>
      <c r="CJ1468" s="8"/>
      <c r="CK1468" s="8"/>
      <c r="CL1468" s="8"/>
      <c r="CM1468" s="8"/>
      <c r="CN1468" s="8"/>
      <c r="CO1468" s="8"/>
      <c r="CP1468" s="8"/>
      <c r="CQ1468" s="8"/>
      <c r="CR1468" s="8"/>
      <c r="CS1468" s="8"/>
      <c r="CT1468" s="8"/>
      <c r="CU1468" s="8"/>
      <c r="CV1468" s="8"/>
      <c r="CW1468" s="8"/>
      <c r="CX1468" s="8"/>
      <c r="CY1468" s="8"/>
      <c r="CZ1468" s="8"/>
      <c r="DA1468" s="8"/>
      <c r="DB1468" s="8"/>
      <c r="DC1468" s="8"/>
      <c r="DD1468" s="8"/>
      <c r="DE1468" s="8"/>
      <c r="DF1468" s="8"/>
      <c r="DG1468" s="8"/>
      <c r="DH1468" s="8"/>
      <c r="DI1468" s="8"/>
      <c r="DJ1468" s="8"/>
      <c r="DK1468" s="8"/>
      <c r="DL1468" s="8"/>
      <c r="DM1468" s="8"/>
      <c r="DN1468" s="8"/>
      <c r="DO1468" s="8"/>
      <c r="DP1468" s="8"/>
      <c r="DQ1468" s="8"/>
      <c r="DR1468" s="8"/>
      <c r="DS1468" s="8"/>
      <c r="DT1468" s="8"/>
      <c r="DU1468" s="8"/>
      <c r="DV1468" s="8"/>
      <c r="DW1468" s="8"/>
      <c r="DX1468" s="8"/>
      <c r="DY1468" s="8"/>
      <c r="DZ1468" s="8"/>
      <c r="EA1468" s="8"/>
      <c r="EB1468" s="8"/>
      <c r="EC1468" s="8"/>
      <c r="ED1468" s="8"/>
      <c r="EE1468" s="8"/>
      <c r="EF1468" s="8"/>
      <c r="EG1468" s="8"/>
      <c r="EH1468" s="8"/>
      <c r="EI1468" s="8"/>
      <c r="EJ1468" s="8"/>
      <c r="EK1468" s="8"/>
      <c r="EL1468" s="8"/>
      <c r="EM1468" s="8"/>
      <c r="EN1468" s="8"/>
      <c r="EO1468" s="8"/>
      <c r="EP1468" s="8"/>
      <c r="EQ1468" s="8"/>
      <c r="ER1468" s="8"/>
      <c r="ES1468" s="8"/>
      <c r="ET1468" s="8"/>
      <c r="EU1468" s="8"/>
      <c r="EV1468" s="8"/>
      <c r="EW1468" s="8"/>
      <c r="EX1468" s="8"/>
      <c r="EY1468" s="8"/>
      <c r="EZ1468" s="8"/>
      <c r="FA1468" s="8"/>
      <c r="FB1468" s="8"/>
      <c r="FC1468" s="8"/>
      <c r="FD1468" s="8"/>
      <c r="FE1468" s="8"/>
      <c r="FF1468" s="8"/>
      <c r="FG1468" s="8"/>
      <c r="FH1468" s="8"/>
      <c r="FI1468" s="8"/>
      <c r="FJ1468" s="8"/>
      <c r="FK1468" s="8"/>
      <c r="FL1468" s="8"/>
      <c r="FM1468" s="8"/>
      <c r="FN1468" s="8"/>
      <c r="FO1468" s="8"/>
      <c r="FP1468" s="8"/>
      <c r="FQ1468" s="8"/>
      <c r="FR1468" s="8"/>
      <c r="FS1468" s="8"/>
      <c r="FT1468" s="8"/>
      <c r="FU1468" s="8"/>
      <c r="FV1468" s="8"/>
      <c r="FW1468" s="8"/>
      <c r="FX1468" s="8"/>
      <c r="FY1468" s="8"/>
      <c r="FZ1468" s="8"/>
      <c r="GA1468" s="8"/>
      <c r="GB1468" s="8"/>
      <c r="GC1468" s="8"/>
      <c r="GD1468" s="8"/>
      <c r="GE1468" s="8"/>
      <c r="GF1468" s="8"/>
      <c r="GG1468" s="8"/>
      <c r="GH1468" s="8"/>
      <c r="GI1468" s="8"/>
      <c r="GJ1468" s="8"/>
      <c r="GK1468" s="8"/>
      <c r="GL1468" s="8"/>
      <c r="GM1468" s="8"/>
      <c r="GN1468" s="8"/>
      <c r="GO1468" s="8"/>
      <c r="GP1468" s="8"/>
      <c r="GQ1468" s="8"/>
      <c r="GR1468" s="8"/>
      <c r="GS1468" s="8"/>
      <c r="GT1468" s="8"/>
      <c r="GU1468" s="8"/>
      <c r="GV1468" s="8"/>
      <c r="GW1468" s="8"/>
      <c r="GX1468" s="8"/>
      <c r="GY1468" s="8"/>
      <c r="GZ1468" s="8"/>
      <c r="HA1468" s="8"/>
      <c r="HB1468" s="8"/>
      <c r="HC1468" s="8"/>
      <c r="HD1468" s="8"/>
      <c r="HE1468" s="8"/>
      <c r="HF1468" s="8"/>
      <c r="HG1468" s="8"/>
      <c r="HH1468" s="8"/>
      <c r="HI1468" s="8"/>
      <c r="HJ1468" s="8"/>
      <c r="HK1468" s="8"/>
      <c r="HL1468" s="8"/>
      <c r="HM1468" s="8"/>
      <c r="HN1468" s="8"/>
      <c r="HO1468" s="8"/>
      <c r="HP1468" s="8"/>
      <c r="HQ1468" s="8"/>
      <c r="HR1468" s="8"/>
      <c r="HS1468" s="8"/>
      <c r="HT1468" s="8"/>
      <c r="HU1468" s="8"/>
      <c r="HV1468" s="8"/>
      <c r="HW1468" s="8"/>
      <c r="HX1468" s="8"/>
      <c r="HY1468" s="8"/>
      <c r="HZ1468" s="8"/>
      <c r="IA1468" s="8"/>
      <c r="IB1468" s="8"/>
      <c r="IC1468" s="8"/>
      <c r="ID1468" s="8"/>
      <c r="IE1468" s="8"/>
      <c r="IF1468" s="8"/>
    </row>
    <row r="1469" spans="1:240">
      <c r="A1469" s="14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8"/>
      <c r="BS1469" s="8"/>
      <c r="BT1469" s="8"/>
      <c r="BU1469" s="8"/>
      <c r="BV1469" s="8"/>
      <c r="BW1469" s="8"/>
      <c r="BX1469" s="8"/>
      <c r="BY1469" s="8"/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/>
      <c r="CK1469" s="8"/>
      <c r="CL1469" s="8"/>
      <c r="CM1469" s="8"/>
      <c r="CN1469" s="8"/>
      <c r="CO1469" s="8"/>
      <c r="CP1469" s="8"/>
      <c r="CQ1469" s="8"/>
      <c r="CR1469" s="8"/>
      <c r="CS1469" s="8"/>
      <c r="CT1469" s="8"/>
      <c r="CU1469" s="8"/>
      <c r="CV1469" s="8"/>
      <c r="CW1469" s="8"/>
      <c r="CX1469" s="8"/>
      <c r="CY1469" s="8"/>
      <c r="CZ1469" s="8"/>
      <c r="DA1469" s="8"/>
      <c r="DB1469" s="8"/>
      <c r="DC1469" s="8"/>
      <c r="DD1469" s="8"/>
      <c r="DE1469" s="8"/>
      <c r="DF1469" s="8"/>
      <c r="DG1469" s="8"/>
      <c r="DH1469" s="8"/>
      <c r="DI1469" s="8"/>
      <c r="DJ1469" s="8"/>
      <c r="DK1469" s="8"/>
      <c r="DL1469" s="8"/>
      <c r="DM1469" s="8"/>
      <c r="DN1469" s="8"/>
      <c r="DO1469" s="8"/>
      <c r="DP1469" s="8"/>
      <c r="DQ1469" s="8"/>
      <c r="DR1469" s="8"/>
      <c r="DS1469" s="8"/>
      <c r="DT1469" s="8"/>
      <c r="DU1469" s="8"/>
      <c r="DV1469" s="8"/>
      <c r="DW1469" s="8"/>
      <c r="DX1469" s="8"/>
      <c r="DY1469" s="8"/>
      <c r="DZ1469" s="8"/>
      <c r="EA1469" s="8"/>
      <c r="EB1469" s="8"/>
      <c r="EC1469" s="8"/>
      <c r="ED1469" s="8"/>
      <c r="EE1469" s="8"/>
      <c r="EF1469" s="8"/>
      <c r="EG1469" s="8"/>
      <c r="EH1469" s="8"/>
      <c r="EI1469" s="8"/>
      <c r="EJ1469" s="8"/>
      <c r="EK1469" s="8"/>
      <c r="EL1469" s="8"/>
      <c r="EM1469" s="8"/>
      <c r="EN1469" s="8"/>
      <c r="EO1469" s="8"/>
      <c r="EP1469" s="8"/>
      <c r="EQ1469" s="8"/>
      <c r="ER1469" s="8"/>
      <c r="ES1469" s="8"/>
      <c r="ET1469" s="8"/>
      <c r="EU1469" s="8"/>
      <c r="EV1469" s="8"/>
      <c r="EW1469" s="8"/>
      <c r="EX1469" s="8"/>
      <c r="EY1469" s="8"/>
      <c r="EZ1469" s="8"/>
      <c r="FA1469" s="8"/>
      <c r="FB1469" s="8"/>
      <c r="FC1469" s="8"/>
      <c r="FD1469" s="8"/>
      <c r="FE1469" s="8"/>
      <c r="FF1469" s="8"/>
      <c r="FG1469" s="8"/>
      <c r="FH1469" s="8"/>
      <c r="FI1469" s="8"/>
      <c r="FJ1469" s="8"/>
      <c r="FK1469" s="8"/>
      <c r="FL1469" s="8"/>
      <c r="FM1469" s="8"/>
      <c r="FN1469" s="8"/>
      <c r="FO1469" s="8"/>
      <c r="FP1469" s="8"/>
      <c r="FQ1469" s="8"/>
      <c r="FR1469" s="8"/>
      <c r="FS1469" s="8"/>
      <c r="FT1469" s="8"/>
      <c r="FU1469" s="8"/>
      <c r="FV1469" s="8"/>
      <c r="FW1469" s="8"/>
      <c r="FX1469" s="8"/>
      <c r="FY1469" s="8"/>
      <c r="FZ1469" s="8"/>
      <c r="GA1469" s="8"/>
      <c r="GB1469" s="8"/>
      <c r="GC1469" s="8"/>
      <c r="GD1469" s="8"/>
      <c r="GE1469" s="8"/>
      <c r="GF1469" s="8"/>
      <c r="GG1469" s="8"/>
      <c r="GH1469" s="8"/>
      <c r="GI1469" s="8"/>
      <c r="GJ1469" s="8"/>
      <c r="GK1469" s="8"/>
      <c r="GL1469" s="8"/>
      <c r="GM1469" s="8"/>
      <c r="GN1469" s="8"/>
      <c r="GO1469" s="8"/>
      <c r="GP1469" s="8"/>
      <c r="GQ1469" s="8"/>
      <c r="GR1469" s="8"/>
      <c r="GS1469" s="8"/>
      <c r="GT1469" s="8"/>
      <c r="GU1469" s="8"/>
      <c r="GV1469" s="8"/>
      <c r="GW1469" s="8"/>
      <c r="GX1469" s="8"/>
      <c r="GY1469" s="8"/>
      <c r="GZ1469" s="8"/>
      <c r="HA1469" s="8"/>
      <c r="HB1469" s="8"/>
      <c r="HC1469" s="8"/>
      <c r="HD1469" s="8"/>
      <c r="HE1469" s="8"/>
      <c r="HF1469" s="8"/>
      <c r="HG1469" s="8"/>
      <c r="HH1469" s="8"/>
      <c r="HI1469" s="8"/>
      <c r="HJ1469" s="8"/>
      <c r="HK1469" s="8"/>
      <c r="HL1469" s="8"/>
      <c r="HM1469" s="8"/>
      <c r="HN1469" s="8"/>
      <c r="HO1469" s="8"/>
      <c r="HP1469" s="8"/>
      <c r="HQ1469" s="8"/>
      <c r="HR1469" s="8"/>
      <c r="HS1469" s="8"/>
      <c r="HT1469" s="8"/>
      <c r="HU1469" s="8"/>
      <c r="HV1469" s="8"/>
      <c r="HW1469" s="8"/>
      <c r="HX1469" s="8"/>
      <c r="HY1469" s="8"/>
      <c r="HZ1469" s="8"/>
      <c r="IA1469" s="8"/>
      <c r="IB1469" s="8"/>
      <c r="IC1469" s="8"/>
      <c r="ID1469" s="8"/>
      <c r="IE1469" s="8"/>
      <c r="IF1469" s="8"/>
    </row>
    <row r="1470" spans="1:240">
      <c r="A1470" s="14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  <c r="AL1470" s="23"/>
      <c r="AM1470" s="23"/>
      <c r="AN1470" s="23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8"/>
      <c r="BS1470" s="8"/>
      <c r="BT1470" s="8"/>
      <c r="BU1470" s="8"/>
      <c r="BV1470" s="8"/>
      <c r="BW1470" s="8"/>
      <c r="BX1470" s="8"/>
      <c r="BY1470" s="8"/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/>
      <c r="CK1470" s="8"/>
      <c r="CL1470" s="8"/>
      <c r="CM1470" s="8"/>
      <c r="CN1470" s="8"/>
      <c r="CO1470" s="8"/>
      <c r="CP1470" s="8"/>
      <c r="CQ1470" s="8"/>
      <c r="CR1470" s="8"/>
      <c r="CS1470" s="8"/>
      <c r="CT1470" s="8"/>
      <c r="CU1470" s="8"/>
      <c r="CV1470" s="8"/>
      <c r="CW1470" s="8"/>
      <c r="CX1470" s="8"/>
      <c r="CY1470" s="8"/>
      <c r="CZ1470" s="8"/>
      <c r="DA1470" s="8"/>
      <c r="DB1470" s="8"/>
      <c r="DC1470" s="8"/>
      <c r="DD1470" s="8"/>
      <c r="DE1470" s="8"/>
      <c r="DF1470" s="8"/>
      <c r="DG1470" s="8"/>
      <c r="DH1470" s="8"/>
      <c r="DI1470" s="8"/>
      <c r="DJ1470" s="8"/>
      <c r="DK1470" s="8"/>
      <c r="DL1470" s="8"/>
      <c r="DM1470" s="8"/>
      <c r="DN1470" s="8"/>
      <c r="DO1470" s="8"/>
      <c r="DP1470" s="8"/>
      <c r="DQ1470" s="8"/>
      <c r="DR1470" s="8"/>
      <c r="DS1470" s="8"/>
      <c r="DT1470" s="8"/>
      <c r="DU1470" s="8"/>
      <c r="DV1470" s="8"/>
      <c r="DW1470" s="8"/>
      <c r="DX1470" s="8"/>
      <c r="DY1470" s="8"/>
      <c r="DZ1470" s="8"/>
      <c r="EA1470" s="8"/>
      <c r="EB1470" s="8"/>
      <c r="EC1470" s="8"/>
      <c r="ED1470" s="8"/>
      <c r="EE1470" s="8"/>
      <c r="EF1470" s="8"/>
      <c r="EG1470" s="8"/>
      <c r="EH1470" s="8"/>
      <c r="EI1470" s="8"/>
      <c r="EJ1470" s="8"/>
      <c r="EK1470" s="8"/>
      <c r="EL1470" s="8"/>
      <c r="EM1470" s="8"/>
      <c r="EN1470" s="8"/>
      <c r="EO1470" s="8"/>
      <c r="EP1470" s="8"/>
      <c r="EQ1470" s="8"/>
      <c r="ER1470" s="8"/>
      <c r="ES1470" s="8"/>
      <c r="ET1470" s="8"/>
      <c r="EU1470" s="8"/>
      <c r="EV1470" s="8"/>
      <c r="EW1470" s="8"/>
      <c r="EX1470" s="8"/>
      <c r="EY1470" s="8"/>
      <c r="EZ1470" s="8"/>
      <c r="FA1470" s="8"/>
      <c r="FB1470" s="8"/>
      <c r="FC1470" s="8"/>
      <c r="FD1470" s="8"/>
      <c r="FE1470" s="8"/>
      <c r="FF1470" s="8"/>
      <c r="FG1470" s="8"/>
      <c r="FH1470" s="8"/>
      <c r="FI1470" s="8"/>
      <c r="FJ1470" s="8"/>
      <c r="FK1470" s="8"/>
      <c r="FL1470" s="8"/>
      <c r="FM1470" s="8"/>
      <c r="FN1470" s="8"/>
      <c r="FO1470" s="8"/>
      <c r="FP1470" s="8"/>
      <c r="FQ1470" s="8"/>
      <c r="FR1470" s="8"/>
      <c r="FS1470" s="8"/>
      <c r="FT1470" s="8"/>
      <c r="FU1470" s="8"/>
      <c r="FV1470" s="8"/>
      <c r="FW1470" s="8"/>
      <c r="FX1470" s="8"/>
      <c r="FY1470" s="8"/>
      <c r="FZ1470" s="8"/>
      <c r="GA1470" s="8"/>
      <c r="GB1470" s="8"/>
      <c r="GC1470" s="8"/>
      <c r="GD1470" s="8"/>
      <c r="GE1470" s="8"/>
      <c r="GF1470" s="8"/>
      <c r="GG1470" s="8"/>
      <c r="GH1470" s="8"/>
      <c r="GI1470" s="8"/>
      <c r="GJ1470" s="8"/>
      <c r="GK1470" s="8"/>
      <c r="GL1470" s="8"/>
      <c r="GM1470" s="8"/>
      <c r="GN1470" s="8"/>
      <c r="GO1470" s="8"/>
      <c r="GP1470" s="8"/>
      <c r="GQ1470" s="8"/>
      <c r="GR1470" s="8"/>
      <c r="GS1470" s="8"/>
      <c r="GT1470" s="8"/>
      <c r="GU1470" s="8"/>
      <c r="GV1470" s="8"/>
      <c r="GW1470" s="8"/>
      <c r="GX1470" s="8"/>
      <c r="GY1470" s="8"/>
      <c r="GZ1470" s="8"/>
      <c r="HA1470" s="8"/>
      <c r="HB1470" s="8"/>
      <c r="HC1470" s="8"/>
      <c r="HD1470" s="8"/>
      <c r="HE1470" s="8"/>
      <c r="HF1470" s="8"/>
      <c r="HG1470" s="8"/>
      <c r="HH1470" s="8"/>
      <c r="HI1470" s="8"/>
      <c r="HJ1470" s="8"/>
      <c r="HK1470" s="8"/>
      <c r="HL1470" s="8"/>
      <c r="HM1470" s="8"/>
      <c r="HN1470" s="8"/>
      <c r="HO1470" s="8"/>
      <c r="HP1470" s="8"/>
      <c r="HQ1470" s="8"/>
      <c r="HR1470" s="8"/>
      <c r="HS1470" s="8"/>
      <c r="HT1470" s="8"/>
      <c r="HU1470" s="8"/>
      <c r="HV1470" s="8"/>
      <c r="HW1470" s="8"/>
      <c r="HX1470" s="8"/>
      <c r="HY1470" s="8"/>
      <c r="HZ1470" s="8"/>
      <c r="IA1470" s="8"/>
      <c r="IB1470" s="8"/>
      <c r="IC1470" s="8"/>
      <c r="ID1470" s="8"/>
      <c r="IE1470" s="8"/>
      <c r="IF1470" s="8"/>
    </row>
    <row r="1471" spans="1:240">
      <c r="A1471" s="14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8"/>
      <c r="AP1471" s="8"/>
      <c r="AQ1471" s="8"/>
      <c r="AR1471" s="8"/>
      <c r="AS1471" s="8"/>
      <c r="AT1471" s="8"/>
      <c r="AU1471" s="8"/>
      <c r="AV1471" s="8"/>
      <c r="AW1471" s="8"/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/>
      <c r="BM1471" s="8"/>
      <c r="BN1471" s="8"/>
      <c r="BO1471" s="8"/>
      <c r="BP1471" s="8"/>
      <c r="BQ1471" s="8"/>
      <c r="BR1471" s="8"/>
      <c r="BS1471" s="8"/>
      <c r="BT1471" s="8"/>
      <c r="BU1471" s="8"/>
      <c r="BV1471" s="8"/>
      <c r="BW1471" s="8"/>
      <c r="BX1471" s="8"/>
      <c r="BY1471" s="8"/>
      <c r="BZ1471" s="8"/>
      <c r="CA1471" s="8"/>
      <c r="CB1471" s="8"/>
      <c r="CC1471" s="8"/>
      <c r="CD1471" s="8"/>
      <c r="CE1471" s="8"/>
      <c r="CF1471" s="8"/>
      <c r="CG1471" s="8"/>
      <c r="CH1471" s="8"/>
      <c r="CI1471" s="8"/>
      <c r="CJ1471" s="8"/>
      <c r="CK1471" s="8"/>
      <c r="CL1471" s="8"/>
      <c r="CM1471" s="8"/>
      <c r="CN1471" s="8"/>
      <c r="CO1471" s="8"/>
      <c r="CP1471" s="8"/>
      <c r="CQ1471" s="8"/>
      <c r="CR1471" s="8"/>
      <c r="CS1471" s="8"/>
      <c r="CT1471" s="8"/>
      <c r="CU1471" s="8"/>
      <c r="CV1471" s="8"/>
      <c r="CW1471" s="8"/>
      <c r="CX1471" s="8"/>
      <c r="CY1471" s="8"/>
      <c r="CZ1471" s="8"/>
      <c r="DA1471" s="8"/>
      <c r="DB1471" s="8"/>
      <c r="DC1471" s="8"/>
      <c r="DD1471" s="8"/>
      <c r="DE1471" s="8"/>
      <c r="DF1471" s="8"/>
      <c r="DG1471" s="8"/>
      <c r="DH1471" s="8"/>
      <c r="DI1471" s="8"/>
      <c r="DJ1471" s="8"/>
      <c r="DK1471" s="8"/>
      <c r="DL1471" s="8"/>
      <c r="DM1471" s="8"/>
      <c r="DN1471" s="8"/>
      <c r="DO1471" s="8"/>
      <c r="DP1471" s="8"/>
      <c r="DQ1471" s="8"/>
      <c r="DR1471" s="8"/>
      <c r="DS1471" s="8"/>
      <c r="DT1471" s="8"/>
      <c r="DU1471" s="8"/>
      <c r="DV1471" s="8"/>
      <c r="DW1471" s="8"/>
      <c r="DX1471" s="8"/>
      <c r="DY1471" s="8"/>
      <c r="DZ1471" s="8"/>
      <c r="EA1471" s="8"/>
      <c r="EB1471" s="8"/>
      <c r="EC1471" s="8"/>
      <c r="ED1471" s="8"/>
      <c r="EE1471" s="8"/>
      <c r="EF1471" s="8"/>
      <c r="EG1471" s="8"/>
      <c r="EH1471" s="8"/>
      <c r="EI1471" s="8"/>
      <c r="EJ1471" s="8"/>
      <c r="EK1471" s="8"/>
      <c r="EL1471" s="8"/>
      <c r="EM1471" s="8"/>
      <c r="EN1471" s="8"/>
      <c r="EO1471" s="8"/>
      <c r="EP1471" s="8"/>
      <c r="EQ1471" s="8"/>
      <c r="ER1471" s="8"/>
      <c r="ES1471" s="8"/>
      <c r="ET1471" s="8"/>
      <c r="EU1471" s="8"/>
      <c r="EV1471" s="8"/>
      <c r="EW1471" s="8"/>
      <c r="EX1471" s="8"/>
      <c r="EY1471" s="8"/>
      <c r="EZ1471" s="8"/>
      <c r="FA1471" s="8"/>
      <c r="FB1471" s="8"/>
      <c r="FC1471" s="8"/>
      <c r="FD1471" s="8"/>
      <c r="FE1471" s="8"/>
      <c r="FF1471" s="8"/>
      <c r="FG1471" s="8"/>
      <c r="FH1471" s="8"/>
      <c r="FI1471" s="8"/>
      <c r="FJ1471" s="8"/>
      <c r="FK1471" s="8"/>
      <c r="FL1471" s="8"/>
      <c r="FM1471" s="8"/>
      <c r="FN1471" s="8"/>
      <c r="FO1471" s="8"/>
      <c r="FP1471" s="8"/>
      <c r="FQ1471" s="8"/>
      <c r="FR1471" s="8"/>
      <c r="FS1471" s="8"/>
      <c r="FT1471" s="8"/>
      <c r="FU1471" s="8"/>
      <c r="FV1471" s="8"/>
      <c r="FW1471" s="8"/>
      <c r="FX1471" s="8"/>
      <c r="FY1471" s="8"/>
      <c r="FZ1471" s="8"/>
      <c r="GA1471" s="8"/>
      <c r="GB1471" s="8"/>
      <c r="GC1471" s="8"/>
      <c r="GD1471" s="8"/>
      <c r="GE1471" s="8"/>
      <c r="GF1471" s="8"/>
      <c r="GG1471" s="8"/>
      <c r="GH1471" s="8"/>
      <c r="GI1471" s="8"/>
      <c r="GJ1471" s="8"/>
      <c r="GK1471" s="8"/>
      <c r="GL1471" s="8"/>
      <c r="GM1471" s="8"/>
      <c r="GN1471" s="8"/>
      <c r="GO1471" s="8"/>
      <c r="GP1471" s="8"/>
      <c r="GQ1471" s="8"/>
      <c r="GR1471" s="8"/>
      <c r="GS1471" s="8"/>
      <c r="GT1471" s="8"/>
      <c r="GU1471" s="8"/>
      <c r="GV1471" s="8"/>
      <c r="GW1471" s="8"/>
      <c r="GX1471" s="8"/>
      <c r="GY1471" s="8"/>
      <c r="GZ1471" s="8"/>
      <c r="HA1471" s="8"/>
      <c r="HB1471" s="8"/>
      <c r="HC1471" s="8"/>
      <c r="HD1471" s="8"/>
      <c r="HE1471" s="8"/>
      <c r="HF1471" s="8"/>
      <c r="HG1471" s="8"/>
      <c r="HH1471" s="8"/>
      <c r="HI1471" s="8"/>
      <c r="HJ1471" s="8"/>
      <c r="HK1471" s="8"/>
      <c r="HL1471" s="8"/>
      <c r="HM1471" s="8"/>
      <c r="HN1471" s="8"/>
      <c r="HO1471" s="8"/>
      <c r="HP1471" s="8"/>
      <c r="HQ1471" s="8"/>
      <c r="HR1471" s="8"/>
      <c r="HS1471" s="8"/>
      <c r="HT1471" s="8"/>
      <c r="HU1471" s="8"/>
      <c r="HV1471" s="8"/>
      <c r="HW1471" s="8"/>
      <c r="HX1471" s="8"/>
      <c r="HY1471" s="8"/>
      <c r="HZ1471" s="8"/>
      <c r="IA1471" s="8"/>
      <c r="IB1471" s="8"/>
      <c r="IC1471" s="8"/>
      <c r="ID1471" s="8"/>
      <c r="IE1471" s="8"/>
      <c r="IF1471" s="8"/>
    </row>
    <row r="1472" spans="1:240">
      <c r="A1472" s="14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  <c r="AL1472" s="23"/>
      <c r="AM1472" s="23"/>
      <c r="AN1472" s="23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N1472" s="8"/>
      <c r="BO1472" s="8"/>
      <c r="BP1472" s="8"/>
      <c r="BQ1472" s="8"/>
      <c r="BR1472" s="8"/>
      <c r="BS1472" s="8"/>
      <c r="BT1472" s="8"/>
      <c r="BU1472" s="8"/>
      <c r="BV1472" s="8"/>
      <c r="BW1472" s="8"/>
      <c r="BX1472" s="8"/>
      <c r="BY1472" s="8"/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/>
      <c r="CK1472" s="8"/>
      <c r="CL1472" s="8"/>
      <c r="CM1472" s="8"/>
      <c r="CN1472" s="8"/>
      <c r="CO1472" s="8"/>
      <c r="CP1472" s="8"/>
      <c r="CQ1472" s="8"/>
      <c r="CR1472" s="8"/>
      <c r="CS1472" s="8"/>
      <c r="CT1472" s="8"/>
      <c r="CU1472" s="8"/>
      <c r="CV1472" s="8"/>
      <c r="CW1472" s="8"/>
      <c r="CX1472" s="8"/>
      <c r="CY1472" s="8"/>
      <c r="CZ1472" s="8"/>
      <c r="DA1472" s="8"/>
      <c r="DB1472" s="8"/>
      <c r="DC1472" s="8"/>
      <c r="DD1472" s="8"/>
      <c r="DE1472" s="8"/>
      <c r="DF1472" s="8"/>
      <c r="DG1472" s="8"/>
      <c r="DH1472" s="8"/>
      <c r="DI1472" s="8"/>
      <c r="DJ1472" s="8"/>
      <c r="DK1472" s="8"/>
      <c r="DL1472" s="8"/>
      <c r="DM1472" s="8"/>
      <c r="DN1472" s="8"/>
      <c r="DO1472" s="8"/>
      <c r="DP1472" s="8"/>
      <c r="DQ1472" s="8"/>
      <c r="DR1472" s="8"/>
      <c r="DS1472" s="8"/>
      <c r="DT1472" s="8"/>
      <c r="DU1472" s="8"/>
      <c r="DV1472" s="8"/>
      <c r="DW1472" s="8"/>
      <c r="DX1472" s="8"/>
      <c r="DY1472" s="8"/>
      <c r="DZ1472" s="8"/>
      <c r="EA1472" s="8"/>
      <c r="EB1472" s="8"/>
      <c r="EC1472" s="8"/>
      <c r="ED1472" s="8"/>
      <c r="EE1472" s="8"/>
      <c r="EF1472" s="8"/>
      <c r="EG1472" s="8"/>
      <c r="EH1472" s="8"/>
      <c r="EI1472" s="8"/>
      <c r="EJ1472" s="8"/>
      <c r="EK1472" s="8"/>
      <c r="EL1472" s="8"/>
      <c r="EM1472" s="8"/>
      <c r="EN1472" s="8"/>
      <c r="EO1472" s="8"/>
      <c r="EP1472" s="8"/>
      <c r="EQ1472" s="8"/>
      <c r="ER1472" s="8"/>
      <c r="ES1472" s="8"/>
      <c r="ET1472" s="8"/>
      <c r="EU1472" s="8"/>
      <c r="EV1472" s="8"/>
      <c r="EW1472" s="8"/>
      <c r="EX1472" s="8"/>
      <c r="EY1472" s="8"/>
      <c r="EZ1472" s="8"/>
      <c r="FA1472" s="8"/>
      <c r="FB1472" s="8"/>
      <c r="FC1472" s="8"/>
      <c r="FD1472" s="8"/>
      <c r="FE1472" s="8"/>
      <c r="FF1472" s="8"/>
      <c r="FG1472" s="8"/>
      <c r="FH1472" s="8"/>
      <c r="FI1472" s="8"/>
      <c r="FJ1472" s="8"/>
      <c r="FK1472" s="8"/>
      <c r="FL1472" s="8"/>
      <c r="FM1472" s="8"/>
      <c r="FN1472" s="8"/>
      <c r="FO1472" s="8"/>
      <c r="FP1472" s="8"/>
      <c r="FQ1472" s="8"/>
      <c r="FR1472" s="8"/>
      <c r="FS1472" s="8"/>
      <c r="FT1472" s="8"/>
      <c r="FU1472" s="8"/>
      <c r="FV1472" s="8"/>
      <c r="FW1472" s="8"/>
      <c r="FX1472" s="8"/>
      <c r="FY1472" s="8"/>
      <c r="FZ1472" s="8"/>
      <c r="GA1472" s="8"/>
      <c r="GB1472" s="8"/>
      <c r="GC1472" s="8"/>
      <c r="GD1472" s="8"/>
      <c r="GE1472" s="8"/>
      <c r="GF1472" s="8"/>
      <c r="GG1472" s="8"/>
      <c r="GH1472" s="8"/>
      <c r="GI1472" s="8"/>
      <c r="GJ1472" s="8"/>
      <c r="GK1472" s="8"/>
      <c r="GL1472" s="8"/>
      <c r="GM1472" s="8"/>
      <c r="GN1472" s="8"/>
      <c r="GO1472" s="8"/>
      <c r="GP1472" s="8"/>
      <c r="GQ1472" s="8"/>
      <c r="GR1472" s="8"/>
      <c r="GS1472" s="8"/>
      <c r="GT1472" s="8"/>
      <c r="GU1472" s="8"/>
      <c r="GV1472" s="8"/>
      <c r="GW1472" s="8"/>
      <c r="GX1472" s="8"/>
      <c r="GY1472" s="8"/>
      <c r="GZ1472" s="8"/>
      <c r="HA1472" s="8"/>
      <c r="HB1472" s="8"/>
      <c r="HC1472" s="8"/>
      <c r="HD1472" s="8"/>
      <c r="HE1472" s="8"/>
      <c r="HF1472" s="8"/>
      <c r="HG1472" s="8"/>
      <c r="HH1472" s="8"/>
      <c r="HI1472" s="8"/>
      <c r="HJ1472" s="8"/>
      <c r="HK1472" s="8"/>
      <c r="HL1472" s="8"/>
      <c r="HM1472" s="8"/>
      <c r="HN1472" s="8"/>
      <c r="HO1472" s="8"/>
      <c r="HP1472" s="8"/>
      <c r="HQ1472" s="8"/>
      <c r="HR1472" s="8"/>
      <c r="HS1472" s="8"/>
      <c r="HT1472" s="8"/>
      <c r="HU1472" s="8"/>
      <c r="HV1472" s="8"/>
      <c r="HW1472" s="8"/>
      <c r="HX1472" s="8"/>
      <c r="HY1472" s="8"/>
      <c r="HZ1472" s="8"/>
      <c r="IA1472" s="8"/>
      <c r="IB1472" s="8"/>
      <c r="IC1472" s="8"/>
      <c r="ID1472" s="8"/>
      <c r="IE1472" s="8"/>
      <c r="IF1472" s="8"/>
    </row>
    <row r="1473" spans="1:240">
      <c r="A1473" s="14"/>
      <c r="B1473" s="23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8"/>
      <c r="AP1473" s="8"/>
      <c r="AQ1473" s="8"/>
      <c r="AR1473" s="8"/>
      <c r="AS1473" s="8"/>
      <c r="AT1473" s="8"/>
      <c r="AU1473" s="8"/>
      <c r="AV1473" s="8"/>
      <c r="AW1473" s="8"/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8"/>
      <c r="BS1473" s="8"/>
      <c r="BT1473" s="8"/>
      <c r="BU1473" s="8"/>
      <c r="BV1473" s="8"/>
      <c r="BW1473" s="8"/>
      <c r="BX1473" s="8"/>
      <c r="BY1473" s="8"/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/>
      <c r="CK1473" s="8"/>
      <c r="CL1473" s="8"/>
      <c r="CM1473" s="8"/>
      <c r="CN1473" s="8"/>
      <c r="CO1473" s="8"/>
      <c r="CP1473" s="8"/>
      <c r="CQ1473" s="8"/>
      <c r="CR1473" s="8"/>
      <c r="CS1473" s="8"/>
      <c r="CT1473" s="8"/>
      <c r="CU1473" s="8"/>
      <c r="CV1473" s="8"/>
      <c r="CW1473" s="8"/>
      <c r="CX1473" s="8"/>
      <c r="CY1473" s="8"/>
      <c r="CZ1473" s="8"/>
      <c r="DA1473" s="8"/>
      <c r="DB1473" s="8"/>
      <c r="DC1473" s="8"/>
      <c r="DD1473" s="8"/>
      <c r="DE1473" s="8"/>
      <c r="DF1473" s="8"/>
      <c r="DG1473" s="8"/>
      <c r="DH1473" s="8"/>
      <c r="DI1473" s="8"/>
      <c r="DJ1473" s="8"/>
      <c r="DK1473" s="8"/>
      <c r="DL1473" s="8"/>
      <c r="DM1473" s="8"/>
      <c r="DN1473" s="8"/>
      <c r="DO1473" s="8"/>
      <c r="DP1473" s="8"/>
      <c r="DQ1473" s="8"/>
      <c r="DR1473" s="8"/>
      <c r="DS1473" s="8"/>
      <c r="DT1473" s="8"/>
      <c r="DU1473" s="8"/>
      <c r="DV1473" s="8"/>
      <c r="DW1473" s="8"/>
      <c r="DX1473" s="8"/>
      <c r="DY1473" s="8"/>
      <c r="DZ1473" s="8"/>
      <c r="EA1473" s="8"/>
      <c r="EB1473" s="8"/>
      <c r="EC1473" s="8"/>
      <c r="ED1473" s="8"/>
      <c r="EE1473" s="8"/>
      <c r="EF1473" s="8"/>
      <c r="EG1473" s="8"/>
      <c r="EH1473" s="8"/>
      <c r="EI1473" s="8"/>
      <c r="EJ1473" s="8"/>
      <c r="EK1473" s="8"/>
      <c r="EL1473" s="8"/>
      <c r="EM1473" s="8"/>
      <c r="EN1473" s="8"/>
      <c r="EO1473" s="8"/>
      <c r="EP1473" s="8"/>
      <c r="EQ1473" s="8"/>
      <c r="ER1473" s="8"/>
      <c r="ES1473" s="8"/>
      <c r="ET1473" s="8"/>
      <c r="EU1473" s="8"/>
      <c r="EV1473" s="8"/>
      <c r="EW1473" s="8"/>
      <c r="EX1473" s="8"/>
      <c r="EY1473" s="8"/>
      <c r="EZ1473" s="8"/>
      <c r="FA1473" s="8"/>
      <c r="FB1473" s="8"/>
      <c r="FC1473" s="8"/>
      <c r="FD1473" s="8"/>
      <c r="FE1473" s="8"/>
      <c r="FF1473" s="8"/>
      <c r="FG1473" s="8"/>
      <c r="FH1473" s="8"/>
      <c r="FI1473" s="8"/>
      <c r="FJ1473" s="8"/>
      <c r="FK1473" s="8"/>
      <c r="FL1473" s="8"/>
      <c r="FM1473" s="8"/>
      <c r="FN1473" s="8"/>
      <c r="FO1473" s="8"/>
      <c r="FP1473" s="8"/>
      <c r="FQ1473" s="8"/>
      <c r="FR1473" s="8"/>
      <c r="FS1473" s="8"/>
      <c r="FT1473" s="8"/>
      <c r="FU1473" s="8"/>
      <c r="FV1473" s="8"/>
      <c r="FW1473" s="8"/>
      <c r="FX1473" s="8"/>
      <c r="FY1473" s="8"/>
      <c r="FZ1473" s="8"/>
      <c r="GA1473" s="8"/>
      <c r="GB1473" s="8"/>
      <c r="GC1473" s="8"/>
      <c r="GD1473" s="8"/>
      <c r="GE1473" s="8"/>
      <c r="GF1473" s="8"/>
      <c r="GG1473" s="8"/>
      <c r="GH1473" s="8"/>
      <c r="GI1473" s="8"/>
      <c r="GJ1473" s="8"/>
      <c r="GK1473" s="8"/>
      <c r="GL1473" s="8"/>
      <c r="GM1473" s="8"/>
      <c r="GN1473" s="8"/>
      <c r="GO1473" s="8"/>
      <c r="GP1473" s="8"/>
      <c r="GQ1473" s="8"/>
      <c r="GR1473" s="8"/>
      <c r="GS1473" s="8"/>
      <c r="GT1473" s="8"/>
      <c r="GU1473" s="8"/>
      <c r="GV1473" s="8"/>
      <c r="GW1473" s="8"/>
      <c r="GX1473" s="8"/>
      <c r="GY1473" s="8"/>
      <c r="GZ1473" s="8"/>
      <c r="HA1473" s="8"/>
      <c r="HB1473" s="8"/>
      <c r="HC1473" s="8"/>
      <c r="HD1473" s="8"/>
      <c r="HE1473" s="8"/>
      <c r="HF1473" s="8"/>
      <c r="HG1473" s="8"/>
      <c r="HH1473" s="8"/>
      <c r="HI1473" s="8"/>
      <c r="HJ1473" s="8"/>
      <c r="HK1473" s="8"/>
      <c r="HL1473" s="8"/>
      <c r="HM1473" s="8"/>
      <c r="HN1473" s="8"/>
      <c r="HO1473" s="8"/>
      <c r="HP1473" s="8"/>
      <c r="HQ1473" s="8"/>
      <c r="HR1473" s="8"/>
      <c r="HS1473" s="8"/>
      <c r="HT1473" s="8"/>
      <c r="HU1473" s="8"/>
      <c r="HV1473" s="8"/>
      <c r="HW1473" s="8"/>
      <c r="HX1473" s="8"/>
      <c r="HY1473" s="8"/>
      <c r="HZ1473" s="8"/>
      <c r="IA1473" s="8"/>
      <c r="IB1473" s="8"/>
      <c r="IC1473" s="8"/>
      <c r="ID1473" s="8"/>
      <c r="IE1473" s="8"/>
      <c r="IF1473" s="8"/>
    </row>
    <row r="1474" spans="1:240">
      <c r="A1474" s="14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  <c r="AK1474" s="23"/>
      <c r="AL1474" s="23"/>
      <c r="AM1474" s="23"/>
      <c r="AN1474" s="23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8"/>
      <c r="BS1474" s="8"/>
      <c r="BT1474" s="8"/>
      <c r="BU1474" s="8"/>
      <c r="BV1474" s="8"/>
      <c r="BW1474" s="8"/>
      <c r="BX1474" s="8"/>
      <c r="BY1474" s="8"/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/>
      <c r="CK1474" s="8"/>
      <c r="CL1474" s="8"/>
      <c r="CM1474" s="8"/>
      <c r="CN1474" s="8"/>
      <c r="CO1474" s="8"/>
      <c r="CP1474" s="8"/>
      <c r="CQ1474" s="8"/>
      <c r="CR1474" s="8"/>
      <c r="CS1474" s="8"/>
      <c r="CT1474" s="8"/>
      <c r="CU1474" s="8"/>
      <c r="CV1474" s="8"/>
      <c r="CW1474" s="8"/>
      <c r="CX1474" s="8"/>
      <c r="CY1474" s="8"/>
      <c r="CZ1474" s="8"/>
      <c r="DA1474" s="8"/>
      <c r="DB1474" s="8"/>
      <c r="DC1474" s="8"/>
      <c r="DD1474" s="8"/>
      <c r="DE1474" s="8"/>
      <c r="DF1474" s="8"/>
      <c r="DG1474" s="8"/>
      <c r="DH1474" s="8"/>
      <c r="DI1474" s="8"/>
      <c r="DJ1474" s="8"/>
      <c r="DK1474" s="8"/>
      <c r="DL1474" s="8"/>
      <c r="DM1474" s="8"/>
      <c r="DN1474" s="8"/>
      <c r="DO1474" s="8"/>
      <c r="DP1474" s="8"/>
      <c r="DQ1474" s="8"/>
      <c r="DR1474" s="8"/>
      <c r="DS1474" s="8"/>
      <c r="DT1474" s="8"/>
      <c r="DU1474" s="8"/>
      <c r="DV1474" s="8"/>
      <c r="DW1474" s="8"/>
      <c r="DX1474" s="8"/>
      <c r="DY1474" s="8"/>
      <c r="DZ1474" s="8"/>
      <c r="EA1474" s="8"/>
      <c r="EB1474" s="8"/>
      <c r="EC1474" s="8"/>
      <c r="ED1474" s="8"/>
      <c r="EE1474" s="8"/>
      <c r="EF1474" s="8"/>
      <c r="EG1474" s="8"/>
      <c r="EH1474" s="8"/>
      <c r="EI1474" s="8"/>
      <c r="EJ1474" s="8"/>
      <c r="EK1474" s="8"/>
      <c r="EL1474" s="8"/>
      <c r="EM1474" s="8"/>
      <c r="EN1474" s="8"/>
      <c r="EO1474" s="8"/>
      <c r="EP1474" s="8"/>
      <c r="EQ1474" s="8"/>
      <c r="ER1474" s="8"/>
      <c r="ES1474" s="8"/>
      <c r="ET1474" s="8"/>
      <c r="EU1474" s="8"/>
      <c r="EV1474" s="8"/>
      <c r="EW1474" s="8"/>
      <c r="EX1474" s="8"/>
      <c r="EY1474" s="8"/>
      <c r="EZ1474" s="8"/>
      <c r="FA1474" s="8"/>
      <c r="FB1474" s="8"/>
      <c r="FC1474" s="8"/>
      <c r="FD1474" s="8"/>
      <c r="FE1474" s="8"/>
      <c r="FF1474" s="8"/>
      <c r="FG1474" s="8"/>
      <c r="FH1474" s="8"/>
      <c r="FI1474" s="8"/>
      <c r="FJ1474" s="8"/>
      <c r="FK1474" s="8"/>
      <c r="FL1474" s="8"/>
      <c r="FM1474" s="8"/>
      <c r="FN1474" s="8"/>
      <c r="FO1474" s="8"/>
      <c r="FP1474" s="8"/>
      <c r="FQ1474" s="8"/>
      <c r="FR1474" s="8"/>
      <c r="FS1474" s="8"/>
      <c r="FT1474" s="8"/>
      <c r="FU1474" s="8"/>
      <c r="FV1474" s="8"/>
      <c r="FW1474" s="8"/>
      <c r="FX1474" s="8"/>
      <c r="FY1474" s="8"/>
      <c r="FZ1474" s="8"/>
      <c r="GA1474" s="8"/>
      <c r="GB1474" s="8"/>
      <c r="GC1474" s="8"/>
      <c r="GD1474" s="8"/>
      <c r="GE1474" s="8"/>
      <c r="GF1474" s="8"/>
      <c r="GG1474" s="8"/>
      <c r="GH1474" s="8"/>
      <c r="GI1474" s="8"/>
      <c r="GJ1474" s="8"/>
      <c r="GK1474" s="8"/>
      <c r="GL1474" s="8"/>
      <c r="GM1474" s="8"/>
      <c r="GN1474" s="8"/>
      <c r="GO1474" s="8"/>
      <c r="GP1474" s="8"/>
      <c r="GQ1474" s="8"/>
      <c r="GR1474" s="8"/>
      <c r="GS1474" s="8"/>
      <c r="GT1474" s="8"/>
      <c r="GU1474" s="8"/>
      <c r="GV1474" s="8"/>
      <c r="GW1474" s="8"/>
      <c r="GX1474" s="8"/>
      <c r="GY1474" s="8"/>
      <c r="GZ1474" s="8"/>
      <c r="HA1474" s="8"/>
      <c r="HB1474" s="8"/>
      <c r="HC1474" s="8"/>
      <c r="HD1474" s="8"/>
      <c r="HE1474" s="8"/>
      <c r="HF1474" s="8"/>
      <c r="HG1474" s="8"/>
      <c r="HH1474" s="8"/>
      <c r="HI1474" s="8"/>
      <c r="HJ1474" s="8"/>
      <c r="HK1474" s="8"/>
      <c r="HL1474" s="8"/>
      <c r="HM1474" s="8"/>
      <c r="HN1474" s="8"/>
      <c r="HO1474" s="8"/>
      <c r="HP1474" s="8"/>
      <c r="HQ1474" s="8"/>
      <c r="HR1474" s="8"/>
      <c r="HS1474" s="8"/>
      <c r="HT1474" s="8"/>
      <c r="HU1474" s="8"/>
      <c r="HV1474" s="8"/>
      <c r="HW1474" s="8"/>
      <c r="HX1474" s="8"/>
      <c r="HY1474" s="8"/>
      <c r="HZ1474" s="8"/>
      <c r="IA1474" s="8"/>
      <c r="IB1474" s="8"/>
      <c r="IC1474" s="8"/>
      <c r="ID1474" s="8"/>
      <c r="IE1474" s="8"/>
      <c r="IF1474" s="8"/>
    </row>
    <row r="1475" spans="1:240">
      <c r="A1475" s="14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  <c r="AL1475" s="23"/>
      <c r="AM1475" s="23"/>
      <c r="AN1475" s="23"/>
      <c r="AO1475" s="8"/>
      <c r="AP1475" s="8"/>
      <c r="AQ1475" s="8"/>
      <c r="AR1475" s="8"/>
      <c r="AS1475" s="8"/>
      <c r="AT1475" s="8"/>
      <c r="AU1475" s="8"/>
      <c r="AV1475" s="8"/>
      <c r="AW1475" s="8"/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8"/>
      <c r="BS1475" s="8"/>
      <c r="BT1475" s="8"/>
      <c r="BU1475" s="8"/>
      <c r="BV1475" s="8"/>
      <c r="BW1475" s="8"/>
      <c r="BX1475" s="8"/>
      <c r="BY1475" s="8"/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/>
      <c r="CK1475" s="8"/>
      <c r="CL1475" s="8"/>
      <c r="CM1475" s="8"/>
      <c r="CN1475" s="8"/>
      <c r="CO1475" s="8"/>
      <c r="CP1475" s="8"/>
      <c r="CQ1475" s="8"/>
      <c r="CR1475" s="8"/>
      <c r="CS1475" s="8"/>
      <c r="CT1475" s="8"/>
      <c r="CU1475" s="8"/>
      <c r="CV1475" s="8"/>
      <c r="CW1475" s="8"/>
      <c r="CX1475" s="8"/>
      <c r="CY1475" s="8"/>
      <c r="CZ1475" s="8"/>
      <c r="DA1475" s="8"/>
      <c r="DB1475" s="8"/>
      <c r="DC1475" s="8"/>
      <c r="DD1475" s="8"/>
      <c r="DE1475" s="8"/>
      <c r="DF1475" s="8"/>
      <c r="DG1475" s="8"/>
      <c r="DH1475" s="8"/>
      <c r="DI1475" s="8"/>
      <c r="DJ1475" s="8"/>
      <c r="DK1475" s="8"/>
      <c r="DL1475" s="8"/>
      <c r="DM1475" s="8"/>
      <c r="DN1475" s="8"/>
      <c r="DO1475" s="8"/>
      <c r="DP1475" s="8"/>
      <c r="DQ1475" s="8"/>
      <c r="DR1475" s="8"/>
      <c r="DS1475" s="8"/>
      <c r="DT1475" s="8"/>
      <c r="DU1475" s="8"/>
      <c r="DV1475" s="8"/>
      <c r="DW1475" s="8"/>
      <c r="DX1475" s="8"/>
      <c r="DY1475" s="8"/>
      <c r="DZ1475" s="8"/>
      <c r="EA1475" s="8"/>
      <c r="EB1475" s="8"/>
      <c r="EC1475" s="8"/>
      <c r="ED1475" s="8"/>
      <c r="EE1475" s="8"/>
      <c r="EF1475" s="8"/>
      <c r="EG1475" s="8"/>
      <c r="EH1475" s="8"/>
      <c r="EI1475" s="8"/>
      <c r="EJ1475" s="8"/>
      <c r="EK1475" s="8"/>
      <c r="EL1475" s="8"/>
      <c r="EM1475" s="8"/>
      <c r="EN1475" s="8"/>
      <c r="EO1475" s="8"/>
      <c r="EP1475" s="8"/>
      <c r="EQ1475" s="8"/>
      <c r="ER1475" s="8"/>
      <c r="ES1475" s="8"/>
      <c r="ET1475" s="8"/>
      <c r="EU1475" s="8"/>
      <c r="EV1475" s="8"/>
      <c r="EW1475" s="8"/>
      <c r="EX1475" s="8"/>
      <c r="EY1475" s="8"/>
      <c r="EZ1475" s="8"/>
      <c r="FA1475" s="8"/>
      <c r="FB1475" s="8"/>
      <c r="FC1475" s="8"/>
      <c r="FD1475" s="8"/>
      <c r="FE1475" s="8"/>
      <c r="FF1475" s="8"/>
      <c r="FG1475" s="8"/>
      <c r="FH1475" s="8"/>
      <c r="FI1475" s="8"/>
      <c r="FJ1475" s="8"/>
      <c r="FK1475" s="8"/>
      <c r="FL1475" s="8"/>
      <c r="FM1475" s="8"/>
      <c r="FN1475" s="8"/>
      <c r="FO1475" s="8"/>
      <c r="FP1475" s="8"/>
      <c r="FQ1475" s="8"/>
      <c r="FR1475" s="8"/>
      <c r="FS1475" s="8"/>
      <c r="FT1475" s="8"/>
      <c r="FU1475" s="8"/>
      <c r="FV1475" s="8"/>
      <c r="FW1475" s="8"/>
      <c r="FX1475" s="8"/>
      <c r="FY1475" s="8"/>
      <c r="FZ1475" s="8"/>
      <c r="GA1475" s="8"/>
      <c r="GB1475" s="8"/>
      <c r="GC1475" s="8"/>
      <c r="GD1475" s="8"/>
      <c r="GE1475" s="8"/>
      <c r="GF1475" s="8"/>
      <c r="GG1475" s="8"/>
      <c r="GH1475" s="8"/>
      <c r="GI1475" s="8"/>
      <c r="GJ1475" s="8"/>
      <c r="GK1475" s="8"/>
      <c r="GL1475" s="8"/>
      <c r="GM1475" s="8"/>
      <c r="GN1475" s="8"/>
      <c r="GO1475" s="8"/>
      <c r="GP1475" s="8"/>
      <c r="GQ1475" s="8"/>
      <c r="GR1475" s="8"/>
      <c r="GS1475" s="8"/>
      <c r="GT1475" s="8"/>
      <c r="GU1475" s="8"/>
      <c r="GV1475" s="8"/>
      <c r="GW1475" s="8"/>
      <c r="GX1475" s="8"/>
      <c r="GY1475" s="8"/>
      <c r="GZ1475" s="8"/>
      <c r="HA1475" s="8"/>
      <c r="HB1475" s="8"/>
      <c r="HC1475" s="8"/>
      <c r="HD1475" s="8"/>
      <c r="HE1475" s="8"/>
      <c r="HF1475" s="8"/>
      <c r="HG1475" s="8"/>
      <c r="HH1475" s="8"/>
      <c r="HI1475" s="8"/>
      <c r="HJ1475" s="8"/>
      <c r="HK1475" s="8"/>
      <c r="HL1475" s="8"/>
      <c r="HM1475" s="8"/>
      <c r="HN1475" s="8"/>
      <c r="HO1475" s="8"/>
      <c r="HP1475" s="8"/>
      <c r="HQ1475" s="8"/>
      <c r="HR1475" s="8"/>
      <c r="HS1475" s="8"/>
      <c r="HT1475" s="8"/>
      <c r="HU1475" s="8"/>
      <c r="HV1475" s="8"/>
      <c r="HW1475" s="8"/>
      <c r="HX1475" s="8"/>
      <c r="HY1475" s="8"/>
      <c r="HZ1475" s="8"/>
      <c r="IA1475" s="8"/>
      <c r="IB1475" s="8"/>
      <c r="IC1475" s="8"/>
      <c r="ID1475" s="8"/>
      <c r="IE1475" s="8"/>
      <c r="IF1475" s="8"/>
    </row>
    <row r="1476" spans="1:240">
      <c r="A1476" s="14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  <c r="AJ1476" s="23"/>
      <c r="AK1476" s="23"/>
      <c r="AL1476" s="23"/>
      <c r="AM1476" s="23"/>
      <c r="AN1476" s="23"/>
      <c r="AO1476" s="8"/>
      <c r="AP1476" s="8"/>
      <c r="AQ1476" s="8"/>
      <c r="AR1476" s="8"/>
      <c r="AS1476" s="8"/>
      <c r="AT1476" s="8"/>
      <c r="AU1476" s="8"/>
      <c r="AV1476" s="8"/>
      <c r="AW1476" s="8"/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8"/>
      <c r="BS1476" s="8"/>
      <c r="BT1476" s="8"/>
      <c r="BU1476" s="8"/>
      <c r="BV1476" s="8"/>
      <c r="BW1476" s="8"/>
      <c r="BX1476" s="8"/>
      <c r="BY1476" s="8"/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/>
      <c r="CK1476" s="8"/>
      <c r="CL1476" s="8"/>
      <c r="CM1476" s="8"/>
      <c r="CN1476" s="8"/>
      <c r="CO1476" s="8"/>
      <c r="CP1476" s="8"/>
      <c r="CQ1476" s="8"/>
      <c r="CR1476" s="8"/>
      <c r="CS1476" s="8"/>
      <c r="CT1476" s="8"/>
      <c r="CU1476" s="8"/>
      <c r="CV1476" s="8"/>
      <c r="CW1476" s="8"/>
      <c r="CX1476" s="8"/>
      <c r="CY1476" s="8"/>
      <c r="CZ1476" s="8"/>
      <c r="DA1476" s="8"/>
      <c r="DB1476" s="8"/>
      <c r="DC1476" s="8"/>
      <c r="DD1476" s="8"/>
      <c r="DE1476" s="8"/>
      <c r="DF1476" s="8"/>
      <c r="DG1476" s="8"/>
      <c r="DH1476" s="8"/>
      <c r="DI1476" s="8"/>
      <c r="DJ1476" s="8"/>
      <c r="DK1476" s="8"/>
      <c r="DL1476" s="8"/>
      <c r="DM1476" s="8"/>
      <c r="DN1476" s="8"/>
      <c r="DO1476" s="8"/>
      <c r="DP1476" s="8"/>
      <c r="DQ1476" s="8"/>
      <c r="DR1476" s="8"/>
      <c r="DS1476" s="8"/>
      <c r="DT1476" s="8"/>
      <c r="DU1476" s="8"/>
      <c r="DV1476" s="8"/>
      <c r="DW1476" s="8"/>
      <c r="DX1476" s="8"/>
      <c r="DY1476" s="8"/>
      <c r="DZ1476" s="8"/>
      <c r="EA1476" s="8"/>
      <c r="EB1476" s="8"/>
      <c r="EC1476" s="8"/>
      <c r="ED1476" s="8"/>
      <c r="EE1476" s="8"/>
      <c r="EF1476" s="8"/>
      <c r="EG1476" s="8"/>
      <c r="EH1476" s="8"/>
      <c r="EI1476" s="8"/>
      <c r="EJ1476" s="8"/>
      <c r="EK1476" s="8"/>
      <c r="EL1476" s="8"/>
      <c r="EM1476" s="8"/>
      <c r="EN1476" s="8"/>
      <c r="EO1476" s="8"/>
      <c r="EP1476" s="8"/>
      <c r="EQ1476" s="8"/>
      <c r="ER1476" s="8"/>
      <c r="ES1476" s="8"/>
      <c r="ET1476" s="8"/>
      <c r="EU1476" s="8"/>
      <c r="EV1476" s="8"/>
      <c r="EW1476" s="8"/>
      <c r="EX1476" s="8"/>
      <c r="EY1476" s="8"/>
      <c r="EZ1476" s="8"/>
      <c r="FA1476" s="8"/>
      <c r="FB1476" s="8"/>
      <c r="FC1476" s="8"/>
      <c r="FD1476" s="8"/>
      <c r="FE1476" s="8"/>
      <c r="FF1476" s="8"/>
      <c r="FG1476" s="8"/>
      <c r="FH1476" s="8"/>
      <c r="FI1476" s="8"/>
      <c r="FJ1476" s="8"/>
      <c r="FK1476" s="8"/>
      <c r="FL1476" s="8"/>
      <c r="FM1476" s="8"/>
      <c r="FN1476" s="8"/>
      <c r="FO1476" s="8"/>
      <c r="FP1476" s="8"/>
      <c r="FQ1476" s="8"/>
      <c r="FR1476" s="8"/>
      <c r="FS1476" s="8"/>
      <c r="FT1476" s="8"/>
      <c r="FU1476" s="8"/>
      <c r="FV1476" s="8"/>
      <c r="FW1476" s="8"/>
      <c r="FX1476" s="8"/>
      <c r="FY1476" s="8"/>
      <c r="FZ1476" s="8"/>
      <c r="GA1476" s="8"/>
      <c r="GB1476" s="8"/>
      <c r="GC1476" s="8"/>
      <c r="GD1476" s="8"/>
      <c r="GE1476" s="8"/>
      <c r="GF1476" s="8"/>
      <c r="GG1476" s="8"/>
      <c r="GH1476" s="8"/>
      <c r="GI1476" s="8"/>
      <c r="GJ1476" s="8"/>
      <c r="GK1476" s="8"/>
      <c r="GL1476" s="8"/>
      <c r="GM1476" s="8"/>
      <c r="GN1476" s="8"/>
      <c r="GO1476" s="8"/>
      <c r="GP1476" s="8"/>
      <c r="GQ1476" s="8"/>
      <c r="GR1476" s="8"/>
      <c r="GS1476" s="8"/>
      <c r="GT1476" s="8"/>
      <c r="GU1476" s="8"/>
      <c r="GV1476" s="8"/>
      <c r="GW1476" s="8"/>
      <c r="GX1476" s="8"/>
      <c r="GY1476" s="8"/>
      <c r="GZ1476" s="8"/>
      <c r="HA1476" s="8"/>
      <c r="HB1476" s="8"/>
      <c r="HC1476" s="8"/>
      <c r="HD1476" s="8"/>
      <c r="HE1476" s="8"/>
      <c r="HF1476" s="8"/>
      <c r="HG1476" s="8"/>
      <c r="HH1476" s="8"/>
      <c r="HI1476" s="8"/>
      <c r="HJ1476" s="8"/>
      <c r="HK1476" s="8"/>
      <c r="HL1476" s="8"/>
      <c r="HM1476" s="8"/>
      <c r="HN1476" s="8"/>
      <c r="HO1476" s="8"/>
      <c r="HP1476" s="8"/>
      <c r="HQ1476" s="8"/>
      <c r="HR1476" s="8"/>
      <c r="HS1476" s="8"/>
      <c r="HT1476" s="8"/>
      <c r="HU1476" s="8"/>
      <c r="HV1476" s="8"/>
      <c r="HW1476" s="8"/>
      <c r="HX1476" s="8"/>
      <c r="HY1476" s="8"/>
      <c r="HZ1476" s="8"/>
      <c r="IA1476" s="8"/>
      <c r="IB1476" s="8"/>
      <c r="IC1476" s="8"/>
      <c r="ID1476" s="8"/>
      <c r="IE1476" s="8"/>
      <c r="IF1476" s="8"/>
    </row>
    <row r="1477" spans="1:240">
      <c r="A1477" s="14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  <c r="AL1477" s="23"/>
      <c r="AM1477" s="23"/>
      <c r="AN1477" s="23"/>
      <c r="AO1477" s="8"/>
      <c r="AP1477" s="8"/>
      <c r="AQ1477" s="8"/>
      <c r="AR1477" s="8"/>
      <c r="AS1477" s="8"/>
      <c r="AT1477" s="8"/>
      <c r="AU1477" s="8"/>
      <c r="AV1477" s="8"/>
      <c r="AW1477" s="8"/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8"/>
      <c r="BS1477" s="8"/>
      <c r="BT1477" s="8"/>
      <c r="BU1477" s="8"/>
      <c r="BV1477" s="8"/>
      <c r="BW1477" s="8"/>
      <c r="BX1477" s="8"/>
      <c r="BY1477" s="8"/>
      <c r="BZ1477" s="8"/>
      <c r="CA1477" s="8"/>
      <c r="CB1477" s="8"/>
      <c r="CC1477" s="8"/>
      <c r="CD1477" s="8"/>
      <c r="CE1477" s="8"/>
      <c r="CF1477" s="8"/>
      <c r="CG1477" s="8"/>
      <c r="CH1477" s="8"/>
      <c r="CI1477" s="8"/>
      <c r="CJ1477" s="8"/>
      <c r="CK1477" s="8"/>
      <c r="CL1477" s="8"/>
      <c r="CM1477" s="8"/>
      <c r="CN1477" s="8"/>
      <c r="CO1477" s="8"/>
      <c r="CP1477" s="8"/>
      <c r="CQ1477" s="8"/>
      <c r="CR1477" s="8"/>
      <c r="CS1477" s="8"/>
      <c r="CT1477" s="8"/>
      <c r="CU1477" s="8"/>
      <c r="CV1477" s="8"/>
      <c r="CW1477" s="8"/>
      <c r="CX1477" s="8"/>
      <c r="CY1477" s="8"/>
      <c r="CZ1477" s="8"/>
      <c r="DA1477" s="8"/>
      <c r="DB1477" s="8"/>
      <c r="DC1477" s="8"/>
      <c r="DD1477" s="8"/>
      <c r="DE1477" s="8"/>
      <c r="DF1477" s="8"/>
      <c r="DG1477" s="8"/>
      <c r="DH1477" s="8"/>
      <c r="DI1477" s="8"/>
      <c r="DJ1477" s="8"/>
      <c r="DK1477" s="8"/>
      <c r="DL1477" s="8"/>
      <c r="DM1477" s="8"/>
      <c r="DN1477" s="8"/>
      <c r="DO1477" s="8"/>
      <c r="DP1477" s="8"/>
      <c r="DQ1477" s="8"/>
      <c r="DR1477" s="8"/>
      <c r="DS1477" s="8"/>
      <c r="DT1477" s="8"/>
      <c r="DU1477" s="8"/>
      <c r="DV1477" s="8"/>
      <c r="DW1477" s="8"/>
      <c r="DX1477" s="8"/>
      <c r="DY1477" s="8"/>
      <c r="DZ1477" s="8"/>
      <c r="EA1477" s="8"/>
      <c r="EB1477" s="8"/>
      <c r="EC1477" s="8"/>
      <c r="ED1477" s="8"/>
      <c r="EE1477" s="8"/>
      <c r="EF1477" s="8"/>
      <c r="EG1477" s="8"/>
      <c r="EH1477" s="8"/>
      <c r="EI1477" s="8"/>
      <c r="EJ1477" s="8"/>
      <c r="EK1477" s="8"/>
      <c r="EL1477" s="8"/>
      <c r="EM1477" s="8"/>
      <c r="EN1477" s="8"/>
      <c r="EO1477" s="8"/>
      <c r="EP1477" s="8"/>
      <c r="EQ1477" s="8"/>
      <c r="ER1477" s="8"/>
      <c r="ES1477" s="8"/>
      <c r="ET1477" s="8"/>
      <c r="EU1477" s="8"/>
      <c r="EV1477" s="8"/>
      <c r="EW1477" s="8"/>
      <c r="EX1477" s="8"/>
      <c r="EY1477" s="8"/>
      <c r="EZ1477" s="8"/>
      <c r="FA1477" s="8"/>
      <c r="FB1477" s="8"/>
      <c r="FC1477" s="8"/>
      <c r="FD1477" s="8"/>
      <c r="FE1477" s="8"/>
      <c r="FF1477" s="8"/>
      <c r="FG1477" s="8"/>
      <c r="FH1477" s="8"/>
      <c r="FI1477" s="8"/>
      <c r="FJ1477" s="8"/>
      <c r="FK1477" s="8"/>
      <c r="FL1477" s="8"/>
      <c r="FM1477" s="8"/>
      <c r="FN1477" s="8"/>
      <c r="FO1477" s="8"/>
      <c r="FP1477" s="8"/>
      <c r="FQ1477" s="8"/>
      <c r="FR1477" s="8"/>
      <c r="FS1477" s="8"/>
      <c r="FT1477" s="8"/>
      <c r="FU1477" s="8"/>
      <c r="FV1477" s="8"/>
      <c r="FW1477" s="8"/>
      <c r="FX1477" s="8"/>
      <c r="FY1477" s="8"/>
      <c r="FZ1477" s="8"/>
      <c r="GA1477" s="8"/>
      <c r="GB1477" s="8"/>
      <c r="GC1477" s="8"/>
      <c r="GD1477" s="8"/>
      <c r="GE1477" s="8"/>
      <c r="GF1477" s="8"/>
      <c r="GG1477" s="8"/>
      <c r="GH1477" s="8"/>
      <c r="GI1477" s="8"/>
      <c r="GJ1477" s="8"/>
      <c r="GK1477" s="8"/>
      <c r="GL1477" s="8"/>
      <c r="GM1477" s="8"/>
      <c r="GN1477" s="8"/>
      <c r="GO1477" s="8"/>
      <c r="GP1477" s="8"/>
      <c r="GQ1477" s="8"/>
      <c r="GR1477" s="8"/>
      <c r="GS1477" s="8"/>
      <c r="GT1477" s="8"/>
      <c r="GU1477" s="8"/>
      <c r="GV1477" s="8"/>
      <c r="GW1477" s="8"/>
      <c r="GX1477" s="8"/>
      <c r="GY1477" s="8"/>
      <c r="GZ1477" s="8"/>
      <c r="HA1477" s="8"/>
      <c r="HB1477" s="8"/>
      <c r="HC1477" s="8"/>
      <c r="HD1477" s="8"/>
      <c r="HE1477" s="8"/>
      <c r="HF1477" s="8"/>
      <c r="HG1477" s="8"/>
      <c r="HH1477" s="8"/>
      <c r="HI1477" s="8"/>
      <c r="HJ1477" s="8"/>
      <c r="HK1477" s="8"/>
      <c r="HL1477" s="8"/>
      <c r="HM1477" s="8"/>
      <c r="HN1477" s="8"/>
      <c r="HO1477" s="8"/>
      <c r="HP1477" s="8"/>
      <c r="HQ1477" s="8"/>
      <c r="HR1477" s="8"/>
      <c r="HS1477" s="8"/>
      <c r="HT1477" s="8"/>
      <c r="HU1477" s="8"/>
      <c r="HV1477" s="8"/>
      <c r="HW1477" s="8"/>
      <c r="HX1477" s="8"/>
      <c r="HY1477" s="8"/>
      <c r="HZ1477" s="8"/>
      <c r="IA1477" s="8"/>
      <c r="IB1477" s="8"/>
      <c r="IC1477" s="8"/>
      <c r="ID1477" s="8"/>
      <c r="IE1477" s="8"/>
      <c r="IF1477" s="8"/>
    </row>
    <row r="1478" spans="1:240">
      <c r="A1478" s="14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8"/>
      <c r="AP1478" s="8"/>
      <c r="AQ1478" s="8"/>
      <c r="AR1478" s="8"/>
      <c r="AS1478" s="8"/>
      <c r="AT1478" s="8"/>
      <c r="AU1478" s="8"/>
      <c r="AV1478" s="8"/>
      <c r="AW1478" s="8"/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8"/>
      <c r="BS1478" s="8"/>
      <c r="BT1478" s="8"/>
      <c r="BU1478" s="8"/>
      <c r="BV1478" s="8"/>
      <c r="BW1478" s="8"/>
      <c r="BX1478" s="8"/>
      <c r="BY1478" s="8"/>
      <c r="BZ1478" s="8"/>
      <c r="CA1478" s="8"/>
      <c r="CB1478" s="8"/>
      <c r="CC1478" s="8"/>
      <c r="CD1478" s="8"/>
      <c r="CE1478" s="8"/>
      <c r="CF1478" s="8"/>
      <c r="CG1478" s="8"/>
      <c r="CH1478" s="8"/>
      <c r="CI1478" s="8"/>
      <c r="CJ1478" s="8"/>
      <c r="CK1478" s="8"/>
      <c r="CL1478" s="8"/>
      <c r="CM1478" s="8"/>
      <c r="CN1478" s="8"/>
      <c r="CO1478" s="8"/>
      <c r="CP1478" s="8"/>
      <c r="CQ1478" s="8"/>
      <c r="CR1478" s="8"/>
      <c r="CS1478" s="8"/>
      <c r="CT1478" s="8"/>
      <c r="CU1478" s="8"/>
      <c r="CV1478" s="8"/>
      <c r="CW1478" s="8"/>
      <c r="CX1478" s="8"/>
      <c r="CY1478" s="8"/>
      <c r="CZ1478" s="8"/>
      <c r="DA1478" s="8"/>
      <c r="DB1478" s="8"/>
      <c r="DC1478" s="8"/>
      <c r="DD1478" s="8"/>
      <c r="DE1478" s="8"/>
      <c r="DF1478" s="8"/>
      <c r="DG1478" s="8"/>
      <c r="DH1478" s="8"/>
      <c r="DI1478" s="8"/>
      <c r="DJ1478" s="8"/>
      <c r="DK1478" s="8"/>
      <c r="DL1478" s="8"/>
      <c r="DM1478" s="8"/>
      <c r="DN1478" s="8"/>
      <c r="DO1478" s="8"/>
      <c r="DP1478" s="8"/>
      <c r="DQ1478" s="8"/>
      <c r="DR1478" s="8"/>
      <c r="DS1478" s="8"/>
      <c r="DT1478" s="8"/>
      <c r="DU1478" s="8"/>
      <c r="DV1478" s="8"/>
      <c r="DW1478" s="8"/>
      <c r="DX1478" s="8"/>
      <c r="DY1478" s="8"/>
      <c r="DZ1478" s="8"/>
      <c r="EA1478" s="8"/>
      <c r="EB1478" s="8"/>
      <c r="EC1478" s="8"/>
      <c r="ED1478" s="8"/>
      <c r="EE1478" s="8"/>
      <c r="EF1478" s="8"/>
      <c r="EG1478" s="8"/>
      <c r="EH1478" s="8"/>
      <c r="EI1478" s="8"/>
      <c r="EJ1478" s="8"/>
      <c r="EK1478" s="8"/>
      <c r="EL1478" s="8"/>
      <c r="EM1478" s="8"/>
      <c r="EN1478" s="8"/>
      <c r="EO1478" s="8"/>
      <c r="EP1478" s="8"/>
      <c r="EQ1478" s="8"/>
      <c r="ER1478" s="8"/>
      <c r="ES1478" s="8"/>
      <c r="ET1478" s="8"/>
      <c r="EU1478" s="8"/>
      <c r="EV1478" s="8"/>
      <c r="EW1478" s="8"/>
      <c r="EX1478" s="8"/>
      <c r="EY1478" s="8"/>
      <c r="EZ1478" s="8"/>
      <c r="FA1478" s="8"/>
      <c r="FB1478" s="8"/>
      <c r="FC1478" s="8"/>
      <c r="FD1478" s="8"/>
      <c r="FE1478" s="8"/>
      <c r="FF1478" s="8"/>
      <c r="FG1478" s="8"/>
      <c r="FH1478" s="8"/>
      <c r="FI1478" s="8"/>
      <c r="FJ1478" s="8"/>
      <c r="FK1478" s="8"/>
      <c r="FL1478" s="8"/>
      <c r="FM1478" s="8"/>
      <c r="FN1478" s="8"/>
      <c r="FO1478" s="8"/>
      <c r="FP1478" s="8"/>
      <c r="FQ1478" s="8"/>
      <c r="FR1478" s="8"/>
      <c r="FS1478" s="8"/>
      <c r="FT1478" s="8"/>
      <c r="FU1478" s="8"/>
      <c r="FV1478" s="8"/>
      <c r="FW1478" s="8"/>
      <c r="FX1478" s="8"/>
      <c r="FY1478" s="8"/>
      <c r="FZ1478" s="8"/>
      <c r="GA1478" s="8"/>
      <c r="GB1478" s="8"/>
      <c r="GC1478" s="8"/>
      <c r="GD1478" s="8"/>
      <c r="GE1478" s="8"/>
      <c r="GF1478" s="8"/>
      <c r="GG1478" s="8"/>
      <c r="GH1478" s="8"/>
      <c r="GI1478" s="8"/>
      <c r="GJ1478" s="8"/>
      <c r="GK1478" s="8"/>
      <c r="GL1478" s="8"/>
      <c r="GM1478" s="8"/>
      <c r="GN1478" s="8"/>
      <c r="GO1478" s="8"/>
      <c r="GP1478" s="8"/>
      <c r="GQ1478" s="8"/>
      <c r="GR1478" s="8"/>
      <c r="GS1478" s="8"/>
      <c r="GT1478" s="8"/>
      <c r="GU1478" s="8"/>
      <c r="GV1478" s="8"/>
      <c r="GW1478" s="8"/>
      <c r="GX1478" s="8"/>
      <c r="GY1478" s="8"/>
      <c r="GZ1478" s="8"/>
      <c r="HA1478" s="8"/>
      <c r="HB1478" s="8"/>
      <c r="HC1478" s="8"/>
      <c r="HD1478" s="8"/>
      <c r="HE1478" s="8"/>
      <c r="HF1478" s="8"/>
      <c r="HG1478" s="8"/>
      <c r="HH1478" s="8"/>
      <c r="HI1478" s="8"/>
      <c r="HJ1478" s="8"/>
      <c r="HK1478" s="8"/>
      <c r="HL1478" s="8"/>
      <c r="HM1478" s="8"/>
      <c r="HN1478" s="8"/>
      <c r="HO1478" s="8"/>
      <c r="HP1478" s="8"/>
      <c r="HQ1478" s="8"/>
      <c r="HR1478" s="8"/>
      <c r="HS1478" s="8"/>
      <c r="HT1478" s="8"/>
      <c r="HU1478" s="8"/>
      <c r="HV1478" s="8"/>
      <c r="HW1478" s="8"/>
      <c r="HX1478" s="8"/>
      <c r="HY1478" s="8"/>
      <c r="HZ1478" s="8"/>
      <c r="IA1478" s="8"/>
      <c r="IB1478" s="8"/>
      <c r="IC1478" s="8"/>
      <c r="ID1478" s="8"/>
      <c r="IE1478" s="8"/>
      <c r="IF1478" s="8"/>
    </row>
    <row r="1479" spans="1:240">
      <c r="A1479" s="14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N1479" s="8"/>
      <c r="BO1479" s="8"/>
      <c r="BP1479" s="8"/>
      <c r="BQ1479" s="8"/>
      <c r="BR1479" s="8"/>
      <c r="BS1479" s="8"/>
      <c r="BT1479" s="8"/>
      <c r="BU1479" s="8"/>
      <c r="BV1479" s="8"/>
      <c r="BW1479" s="8"/>
      <c r="BX1479" s="8"/>
      <c r="BY1479" s="8"/>
      <c r="BZ1479" s="8"/>
      <c r="CA1479" s="8"/>
      <c r="CB1479" s="8"/>
      <c r="CC1479" s="8"/>
      <c r="CD1479" s="8"/>
      <c r="CE1479" s="8"/>
      <c r="CF1479" s="8"/>
      <c r="CG1479" s="8"/>
      <c r="CH1479" s="8"/>
      <c r="CI1479" s="8"/>
      <c r="CJ1479" s="8"/>
      <c r="CK1479" s="8"/>
      <c r="CL1479" s="8"/>
      <c r="CM1479" s="8"/>
      <c r="CN1479" s="8"/>
      <c r="CO1479" s="8"/>
      <c r="CP1479" s="8"/>
      <c r="CQ1479" s="8"/>
      <c r="CR1479" s="8"/>
      <c r="CS1479" s="8"/>
      <c r="CT1479" s="8"/>
      <c r="CU1479" s="8"/>
      <c r="CV1479" s="8"/>
      <c r="CW1479" s="8"/>
      <c r="CX1479" s="8"/>
      <c r="CY1479" s="8"/>
      <c r="CZ1479" s="8"/>
      <c r="DA1479" s="8"/>
      <c r="DB1479" s="8"/>
      <c r="DC1479" s="8"/>
      <c r="DD1479" s="8"/>
      <c r="DE1479" s="8"/>
      <c r="DF1479" s="8"/>
      <c r="DG1479" s="8"/>
      <c r="DH1479" s="8"/>
      <c r="DI1479" s="8"/>
      <c r="DJ1479" s="8"/>
      <c r="DK1479" s="8"/>
      <c r="DL1479" s="8"/>
      <c r="DM1479" s="8"/>
      <c r="DN1479" s="8"/>
      <c r="DO1479" s="8"/>
      <c r="DP1479" s="8"/>
      <c r="DQ1479" s="8"/>
      <c r="DR1479" s="8"/>
      <c r="DS1479" s="8"/>
      <c r="DT1479" s="8"/>
      <c r="DU1479" s="8"/>
      <c r="DV1479" s="8"/>
      <c r="DW1479" s="8"/>
      <c r="DX1479" s="8"/>
      <c r="DY1479" s="8"/>
      <c r="DZ1479" s="8"/>
      <c r="EA1479" s="8"/>
      <c r="EB1479" s="8"/>
      <c r="EC1479" s="8"/>
      <c r="ED1479" s="8"/>
      <c r="EE1479" s="8"/>
      <c r="EF1479" s="8"/>
      <c r="EG1479" s="8"/>
      <c r="EH1479" s="8"/>
      <c r="EI1479" s="8"/>
      <c r="EJ1479" s="8"/>
      <c r="EK1479" s="8"/>
      <c r="EL1479" s="8"/>
      <c r="EM1479" s="8"/>
      <c r="EN1479" s="8"/>
      <c r="EO1479" s="8"/>
      <c r="EP1479" s="8"/>
      <c r="EQ1479" s="8"/>
      <c r="ER1479" s="8"/>
      <c r="ES1479" s="8"/>
      <c r="ET1479" s="8"/>
      <c r="EU1479" s="8"/>
      <c r="EV1479" s="8"/>
      <c r="EW1479" s="8"/>
      <c r="EX1479" s="8"/>
      <c r="EY1479" s="8"/>
      <c r="EZ1479" s="8"/>
      <c r="FA1479" s="8"/>
      <c r="FB1479" s="8"/>
      <c r="FC1479" s="8"/>
      <c r="FD1479" s="8"/>
      <c r="FE1479" s="8"/>
      <c r="FF1479" s="8"/>
      <c r="FG1479" s="8"/>
      <c r="FH1479" s="8"/>
      <c r="FI1479" s="8"/>
      <c r="FJ1479" s="8"/>
      <c r="FK1479" s="8"/>
      <c r="FL1479" s="8"/>
      <c r="FM1479" s="8"/>
      <c r="FN1479" s="8"/>
      <c r="FO1479" s="8"/>
      <c r="FP1479" s="8"/>
      <c r="FQ1479" s="8"/>
      <c r="FR1479" s="8"/>
      <c r="FS1479" s="8"/>
      <c r="FT1479" s="8"/>
      <c r="FU1479" s="8"/>
      <c r="FV1479" s="8"/>
      <c r="FW1479" s="8"/>
      <c r="FX1479" s="8"/>
      <c r="FY1479" s="8"/>
      <c r="FZ1479" s="8"/>
      <c r="GA1479" s="8"/>
      <c r="GB1479" s="8"/>
      <c r="GC1479" s="8"/>
      <c r="GD1479" s="8"/>
      <c r="GE1479" s="8"/>
      <c r="GF1479" s="8"/>
      <c r="GG1479" s="8"/>
      <c r="GH1479" s="8"/>
      <c r="GI1479" s="8"/>
      <c r="GJ1479" s="8"/>
      <c r="GK1479" s="8"/>
      <c r="GL1479" s="8"/>
      <c r="GM1479" s="8"/>
      <c r="GN1479" s="8"/>
      <c r="GO1479" s="8"/>
      <c r="GP1479" s="8"/>
      <c r="GQ1479" s="8"/>
      <c r="GR1479" s="8"/>
      <c r="GS1479" s="8"/>
      <c r="GT1479" s="8"/>
      <c r="GU1479" s="8"/>
      <c r="GV1479" s="8"/>
      <c r="GW1479" s="8"/>
      <c r="GX1479" s="8"/>
      <c r="GY1479" s="8"/>
      <c r="GZ1479" s="8"/>
      <c r="HA1479" s="8"/>
      <c r="HB1479" s="8"/>
      <c r="HC1479" s="8"/>
      <c r="HD1479" s="8"/>
      <c r="HE1479" s="8"/>
      <c r="HF1479" s="8"/>
      <c r="HG1479" s="8"/>
      <c r="HH1479" s="8"/>
      <c r="HI1479" s="8"/>
      <c r="HJ1479" s="8"/>
      <c r="HK1479" s="8"/>
      <c r="HL1479" s="8"/>
      <c r="HM1479" s="8"/>
      <c r="HN1479" s="8"/>
      <c r="HO1479" s="8"/>
      <c r="HP1479" s="8"/>
      <c r="HQ1479" s="8"/>
      <c r="HR1479" s="8"/>
      <c r="HS1479" s="8"/>
      <c r="HT1479" s="8"/>
      <c r="HU1479" s="8"/>
      <c r="HV1479" s="8"/>
      <c r="HW1479" s="8"/>
      <c r="HX1479" s="8"/>
      <c r="HY1479" s="8"/>
      <c r="HZ1479" s="8"/>
      <c r="IA1479" s="8"/>
      <c r="IB1479" s="8"/>
      <c r="IC1479" s="8"/>
      <c r="ID1479" s="8"/>
      <c r="IE1479" s="8"/>
      <c r="IF1479" s="8"/>
    </row>
    <row r="1480" spans="1:240">
      <c r="A1480" s="14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/>
      <c r="CK1480" s="8"/>
      <c r="CL1480" s="8"/>
      <c r="CM1480" s="8"/>
      <c r="CN1480" s="8"/>
      <c r="CO1480" s="8"/>
      <c r="CP1480" s="8"/>
      <c r="CQ1480" s="8"/>
      <c r="CR1480" s="8"/>
      <c r="CS1480" s="8"/>
      <c r="CT1480" s="8"/>
      <c r="CU1480" s="8"/>
      <c r="CV1480" s="8"/>
      <c r="CW1480" s="8"/>
      <c r="CX1480" s="8"/>
      <c r="CY1480" s="8"/>
      <c r="CZ1480" s="8"/>
      <c r="DA1480" s="8"/>
      <c r="DB1480" s="8"/>
      <c r="DC1480" s="8"/>
      <c r="DD1480" s="8"/>
      <c r="DE1480" s="8"/>
      <c r="DF1480" s="8"/>
      <c r="DG1480" s="8"/>
      <c r="DH1480" s="8"/>
      <c r="DI1480" s="8"/>
      <c r="DJ1480" s="8"/>
      <c r="DK1480" s="8"/>
      <c r="DL1480" s="8"/>
      <c r="DM1480" s="8"/>
      <c r="DN1480" s="8"/>
      <c r="DO1480" s="8"/>
      <c r="DP1480" s="8"/>
      <c r="DQ1480" s="8"/>
      <c r="DR1480" s="8"/>
      <c r="DS1480" s="8"/>
      <c r="DT1480" s="8"/>
      <c r="DU1480" s="8"/>
      <c r="DV1480" s="8"/>
      <c r="DW1480" s="8"/>
      <c r="DX1480" s="8"/>
      <c r="DY1480" s="8"/>
      <c r="DZ1480" s="8"/>
      <c r="EA1480" s="8"/>
      <c r="EB1480" s="8"/>
      <c r="EC1480" s="8"/>
      <c r="ED1480" s="8"/>
      <c r="EE1480" s="8"/>
      <c r="EF1480" s="8"/>
      <c r="EG1480" s="8"/>
      <c r="EH1480" s="8"/>
      <c r="EI1480" s="8"/>
      <c r="EJ1480" s="8"/>
      <c r="EK1480" s="8"/>
      <c r="EL1480" s="8"/>
      <c r="EM1480" s="8"/>
      <c r="EN1480" s="8"/>
      <c r="EO1480" s="8"/>
      <c r="EP1480" s="8"/>
      <c r="EQ1480" s="8"/>
      <c r="ER1480" s="8"/>
      <c r="ES1480" s="8"/>
      <c r="ET1480" s="8"/>
      <c r="EU1480" s="8"/>
      <c r="EV1480" s="8"/>
      <c r="EW1480" s="8"/>
      <c r="EX1480" s="8"/>
      <c r="EY1480" s="8"/>
      <c r="EZ1480" s="8"/>
      <c r="FA1480" s="8"/>
      <c r="FB1480" s="8"/>
      <c r="FC1480" s="8"/>
      <c r="FD1480" s="8"/>
      <c r="FE1480" s="8"/>
      <c r="FF1480" s="8"/>
      <c r="FG1480" s="8"/>
      <c r="FH1480" s="8"/>
      <c r="FI1480" s="8"/>
      <c r="FJ1480" s="8"/>
      <c r="FK1480" s="8"/>
      <c r="FL1480" s="8"/>
      <c r="FM1480" s="8"/>
      <c r="FN1480" s="8"/>
      <c r="FO1480" s="8"/>
      <c r="FP1480" s="8"/>
      <c r="FQ1480" s="8"/>
      <c r="FR1480" s="8"/>
      <c r="FS1480" s="8"/>
      <c r="FT1480" s="8"/>
      <c r="FU1480" s="8"/>
      <c r="FV1480" s="8"/>
      <c r="FW1480" s="8"/>
      <c r="FX1480" s="8"/>
      <c r="FY1480" s="8"/>
      <c r="FZ1480" s="8"/>
      <c r="GA1480" s="8"/>
      <c r="GB1480" s="8"/>
      <c r="GC1480" s="8"/>
      <c r="GD1480" s="8"/>
      <c r="GE1480" s="8"/>
      <c r="GF1480" s="8"/>
      <c r="GG1480" s="8"/>
      <c r="GH1480" s="8"/>
      <c r="GI1480" s="8"/>
      <c r="GJ1480" s="8"/>
      <c r="GK1480" s="8"/>
      <c r="GL1480" s="8"/>
      <c r="GM1480" s="8"/>
      <c r="GN1480" s="8"/>
      <c r="GO1480" s="8"/>
      <c r="GP1480" s="8"/>
      <c r="GQ1480" s="8"/>
      <c r="GR1480" s="8"/>
      <c r="GS1480" s="8"/>
      <c r="GT1480" s="8"/>
      <c r="GU1480" s="8"/>
      <c r="GV1480" s="8"/>
      <c r="GW1480" s="8"/>
      <c r="GX1480" s="8"/>
      <c r="GY1480" s="8"/>
      <c r="GZ1480" s="8"/>
      <c r="HA1480" s="8"/>
      <c r="HB1480" s="8"/>
      <c r="HC1480" s="8"/>
      <c r="HD1480" s="8"/>
      <c r="HE1480" s="8"/>
      <c r="HF1480" s="8"/>
      <c r="HG1480" s="8"/>
      <c r="HH1480" s="8"/>
      <c r="HI1480" s="8"/>
      <c r="HJ1480" s="8"/>
      <c r="HK1480" s="8"/>
      <c r="HL1480" s="8"/>
      <c r="HM1480" s="8"/>
      <c r="HN1480" s="8"/>
      <c r="HO1480" s="8"/>
      <c r="HP1480" s="8"/>
      <c r="HQ1480" s="8"/>
      <c r="HR1480" s="8"/>
      <c r="HS1480" s="8"/>
      <c r="HT1480" s="8"/>
      <c r="HU1480" s="8"/>
      <c r="HV1480" s="8"/>
      <c r="HW1480" s="8"/>
      <c r="HX1480" s="8"/>
      <c r="HY1480" s="8"/>
      <c r="HZ1480" s="8"/>
      <c r="IA1480" s="8"/>
      <c r="IB1480" s="8"/>
      <c r="IC1480" s="8"/>
      <c r="ID1480" s="8"/>
      <c r="IE1480" s="8"/>
      <c r="IF1480" s="8"/>
    </row>
    <row r="1481" spans="1:240">
      <c r="A1481" s="14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8"/>
      <c r="AP1481" s="8"/>
      <c r="AQ1481" s="8"/>
      <c r="AR1481" s="8"/>
      <c r="AS1481" s="8"/>
      <c r="AT1481" s="8"/>
      <c r="AU1481" s="8"/>
      <c r="AV1481" s="8"/>
      <c r="AW1481" s="8"/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/>
      <c r="BV1481" s="8"/>
      <c r="BW1481" s="8"/>
      <c r="BX1481" s="8"/>
      <c r="BY1481" s="8"/>
      <c r="BZ1481" s="8"/>
      <c r="CA1481" s="8"/>
      <c r="CB1481" s="8"/>
      <c r="CC1481" s="8"/>
      <c r="CD1481" s="8"/>
      <c r="CE1481" s="8"/>
      <c r="CF1481" s="8"/>
      <c r="CG1481" s="8"/>
      <c r="CH1481" s="8"/>
      <c r="CI1481" s="8"/>
      <c r="CJ1481" s="8"/>
      <c r="CK1481" s="8"/>
      <c r="CL1481" s="8"/>
      <c r="CM1481" s="8"/>
      <c r="CN1481" s="8"/>
      <c r="CO1481" s="8"/>
      <c r="CP1481" s="8"/>
      <c r="CQ1481" s="8"/>
      <c r="CR1481" s="8"/>
      <c r="CS1481" s="8"/>
      <c r="CT1481" s="8"/>
      <c r="CU1481" s="8"/>
      <c r="CV1481" s="8"/>
      <c r="CW1481" s="8"/>
      <c r="CX1481" s="8"/>
      <c r="CY1481" s="8"/>
      <c r="CZ1481" s="8"/>
      <c r="DA1481" s="8"/>
      <c r="DB1481" s="8"/>
      <c r="DC1481" s="8"/>
      <c r="DD1481" s="8"/>
      <c r="DE1481" s="8"/>
      <c r="DF1481" s="8"/>
      <c r="DG1481" s="8"/>
      <c r="DH1481" s="8"/>
      <c r="DI1481" s="8"/>
      <c r="DJ1481" s="8"/>
      <c r="DK1481" s="8"/>
      <c r="DL1481" s="8"/>
      <c r="DM1481" s="8"/>
      <c r="DN1481" s="8"/>
      <c r="DO1481" s="8"/>
      <c r="DP1481" s="8"/>
      <c r="DQ1481" s="8"/>
      <c r="DR1481" s="8"/>
      <c r="DS1481" s="8"/>
      <c r="DT1481" s="8"/>
      <c r="DU1481" s="8"/>
      <c r="DV1481" s="8"/>
      <c r="DW1481" s="8"/>
      <c r="DX1481" s="8"/>
      <c r="DY1481" s="8"/>
      <c r="DZ1481" s="8"/>
      <c r="EA1481" s="8"/>
      <c r="EB1481" s="8"/>
      <c r="EC1481" s="8"/>
      <c r="ED1481" s="8"/>
      <c r="EE1481" s="8"/>
      <c r="EF1481" s="8"/>
      <c r="EG1481" s="8"/>
      <c r="EH1481" s="8"/>
      <c r="EI1481" s="8"/>
      <c r="EJ1481" s="8"/>
      <c r="EK1481" s="8"/>
      <c r="EL1481" s="8"/>
      <c r="EM1481" s="8"/>
      <c r="EN1481" s="8"/>
      <c r="EO1481" s="8"/>
      <c r="EP1481" s="8"/>
      <c r="EQ1481" s="8"/>
      <c r="ER1481" s="8"/>
      <c r="ES1481" s="8"/>
      <c r="ET1481" s="8"/>
      <c r="EU1481" s="8"/>
      <c r="EV1481" s="8"/>
      <c r="EW1481" s="8"/>
      <c r="EX1481" s="8"/>
      <c r="EY1481" s="8"/>
      <c r="EZ1481" s="8"/>
      <c r="FA1481" s="8"/>
      <c r="FB1481" s="8"/>
      <c r="FC1481" s="8"/>
      <c r="FD1481" s="8"/>
      <c r="FE1481" s="8"/>
      <c r="FF1481" s="8"/>
      <c r="FG1481" s="8"/>
      <c r="FH1481" s="8"/>
      <c r="FI1481" s="8"/>
      <c r="FJ1481" s="8"/>
      <c r="FK1481" s="8"/>
      <c r="FL1481" s="8"/>
      <c r="FM1481" s="8"/>
      <c r="FN1481" s="8"/>
      <c r="FO1481" s="8"/>
      <c r="FP1481" s="8"/>
      <c r="FQ1481" s="8"/>
      <c r="FR1481" s="8"/>
      <c r="FS1481" s="8"/>
      <c r="FT1481" s="8"/>
      <c r="FU1481" s="8"/>
      <c r="FV1481" s="8"/>
      <c r="FW1481" s="8"/>
      <c r="FX1481" s="8"/>
      <c r="FY1481" s="8"/>
      <c r="FZ1481" s="8"/>
      <c r="GA1481" s="8"/>
      <c r="GB1481" s="8"/>
      <c r="GC1481" s="8"/>
      <c r="GD1481" s="8"/>
      <c r="GE1481" s="8"/>
      <c r="GF1481" s="8"/>
      <c r="GG1481" s="8"/>
      <c r="GH1481" s="8"/>
      <c r="GI1481" s="8"/>
      <c r="GJ1481" s="8"/>
      <c r="GK1481" s="8"/>
      <c r="GL1481" s="8"/>
      <c r="GM1481" s="8"/>
      <c r="GN1481" s="8"/>
      <c r="GO1481" s="8"/>
      <c r="GP1481" s="8"/>
      <c r="GQ1481" s="8"/>
      <c r="GR1481" s="8"/>
      <c r="GS1481" s="8"/>
      <c r="GT1481" s="8"/>
      <c r="GU1481" s="8"/>
      <c r="GV1481" s="8"/>
      <c r="GW1481" s="8"/>
      <c r="GX1481" s="8"/>
      <c r="GY1481" s="8"/>
      <c r="GZ1481" s="8"/>
      <c r="HA1481" s="8"/>
      <c r="HB1481" s="8"/>
      <c r="HC1481" s="8"/>
      <c r="HD1481" s="8"/>
      <c r="HE1481" s="8"/>
      <c r="HF1481" s="8"/>
      <c r="HG1481" s="8"/>
      <c r="HH1481" s="8"/>
      <c r="HI1481" s="8"/>
      <c r="HJ1481" s="8"/>
      <c r="HK1481" s="8"/>
      <c r="HL1481" s="8"/>
      <c r="HM1481" s="8"/>
      <c r="HN1481" s="8"/>
      <c r="HO1481" s="8"/>
      <c r="HP1481" s="8"/>
      <c r="HQ1481" s="8"/>
      <c r="HR1481" s="8"/>
      <c r="HS1481" s="8"/>
      <c r="HT1481" s="8"/>
      <c r="HU1481" s="8"/>
      <c r="HV1481" s="8"/>
      <c r="HW1481" s="8"/>
      <c r="HX1481" s="8"/>
      <c r="HY1481" s="8"/>
      <c r="HZ1481" s="8"/>
      <c r="IA1481" s="8"/>
      <c r="IB1481" s="8"/>
      <c r="IC1481" s="8"/>
      <c r="ID1481" s="8"/>
      <c r="IE1481" s="8"/>
      <c r="IF1481" s="8"/>
    </row>
    <row r="1482" spans="1:240">
      <c r="A1482" s="14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  <c r="AL1482" s="23"/>
      <c r="AM1482" s="23"/>
      <c r="AN1482" s="23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8"/>
      <c r="BV1482" s="8"/>
      <c r="BW1482" s="8"/>
      <c r="BX1482" s="8"/>
      <c r="BY1482" s="8"/>
      <c r="BZ1482" s="8"/>
      <c r="CA1482" s="8"/>
      <c r="CB1482" s="8"/>
      <c r="CC1482" s="8"/>
      <c r="CD1482" s="8"/>
      <c r="CE1482" s="8"/>
      <c r="CF1482" s="8"/>
      <c r="CG1482" s="8"/>
      <c r="CH1482" s="8"/>
      <c r="CI1482" s="8"/>
      <c r="CJ1482" s="8"/>
      <c r="CK1482" s="8"/>
      <c r="CL1482" s="8"/>
      <c r="CM1482" s="8"/>
      <c r="CN1482" s="8"/>
      <c r="CO1482" s="8"/>
      <c r="CP1482" s="8"/>
      <c r="CQ1482" s="8"/>
      <c r="CR1482" s="8"/>
      <c r="CS1482" s="8"/>
      <c r="CT1482" s="8"/>
      <c r="CU1482" s="8"/>
      <c r="CV1482" s="8"/>
      <c r="CW1482" s="8"/>
      <c r="CX1482" s="8"/>
      <c r="CY1482" s="8"/>
      <c r="CZ1482" s="8"/>
      <c r="DA1482" s="8"/>
      <c r="DB1482" s="8"/>
      <c r="DC1482" s="8"/>
      <c r="DD1482" s="8"/>
      <c r="DE1482" s="8"/>
      <c r="DF1482" s="8"/>
      <c r="DG1482" s="8"/>
      <c r="DH1482" s="8"/>
      <c r="DI1482" s="8"/>
      <c r="DJ1482" s="8"/>
      <c r="DK1482" s="8"/>
      <c r="DL1482" s="8"/>
      <c r="DM1482" s="8"/>
      <c r="DN1482" s="8"/>
      <c r="DO1482" s="8"/>
      <c r="DP1482" s="8"/>
      <c r="DQ1482" s="8"/>
      <c r="DR1482" s="8"/>
      <c r="DS1482" s="8"/>
      <c r="DT1482" s="8"/>
      <c r="DU1482" s="8"/>
      <c r="DV1482" s="8"/>
      <c r="DW1482" s="8"/>
      <c r="DX1482" s="8"/>
      <c r="DY1482" s="8"/>
      <c r="DZ1482" s="8"/>
      <c r="EA1482" s="8"/>
      <c r="EB1482" s="8"/>
      <c r="EC1482" s="8"/>
      <c r="ED1482" s="8"/>
      <c r="EE1482" s="8"/>
      <c r="EF1482" s="8"/>
      <c r="EG1482" s="8"/>
      <c r="EH1482" s="8"/>
      <c r="EI1482" s="8"/>
      <c r="EJ1482" s="8"/>
      <c r="EK1482" s="8"/>
      <c r="EL1482" s="8"/>
      <c r="EM1482" s="8"/>
      <c r="EN1482" s="8"/>
      <c r="EO1482" s="8"/>
      <c r="EP1482" s="8"/>
      <c r="EQ1482" s="8"/>
      <c r="ER1482" s="8"/>
      <c r="ES1482" s="8"/>
      <c r="ET1482" s="8"/>
      <c r="EU1482" s="8"/>
      <c r="EV1482" s="8"/>
      <c r="EW1482" s="8"/>
      <c r="EX1482" s="8"/>
      <c r="EY1482" s="8"/>
      <c r="EZ1482" s="8"/>
      <c r="FA1482" s="8"/>
      <c r="FB1482" s="8"/>
      <c r="FC1482" s="8"/>
      <c r="FD1482" s="8"/>
      <c r="FE1482" s="8"/>
      <c r="FF1482" s="8"/>
      <c r="FG1482" s="8"/>
      <c r="FH1482" s="8"/>
      <c r="FI1482" s="8"/>
      <c r="FJ1482" s="8"/>
      <c r="FK1482" s="8"/>
      <c r="FL1482" s="8"/>
      <c r="FM1482" s="8"/>
      <c r="FN1482" s="8"/>
      <c r="FO1482" s="8"/>
      <c r="FP1482" s="8"/>
      <c r="FQ1482" s="8"/>
      <c r="FR1482" s="8"/>
      <c r="FS1482" s="8"/>
      <c r="FT1482" s="8"/>
      <c r="FU1482" s="8"/>
      <c r="FV1482" s="8"/>
      <c r="FW1482" s="8"/>
      <c r="FX1482" s="8"/>
      <c r="FY1482" s="8"/>
      <c r="FZ1482" s="8"/>
      <c r="GA1482" s="8"/>
      <c r="GB1482" s="8"/>
      <c r="GC1482" s="8"/>
      <c r="GD1482" s="8"/>
      <c r="GE1482" s="8"/>
      <c r="GF1482" s="8"/>
      <c r="GG1482" s="8"/>
      <c r="GH1482" s="8"/>
      <c r="GI1482" s="8"/>
      <c r="GJ1482" s="8"/>
      <c r="GK1482" s="8"/>
      <c r="GL1482" s="8"/>
      <c r="GM1482" s="8"/>
      <c r="GN1482" s="8"/>
      <c r="GO1482" s="8"/>
      <c r="GP1482" s="8"/>
      <c r="GQ1482" s="8"/>
      <c r="GR1482" s="8"/>
      <c r="GS1482" s="8"/>
      <c r="GT1482" s="8"/>
      <c r="GU1482" s="8"/>
      <c r="GV1482" s="8"/>
      <c r="GW1482" s="8"/>
      <c r="GX1482" s="8"/>
      <c r="GY1482" s="8"/>
      <c r="GZ1482" s="8"/>
      <c r="HA1482" s="8"/>
      <c r="HB1482" s="8"/>
      <c r="HC1482" s="8"/>
      <c r="HD1482" s="8"/>
      <c r="HE1482" s="8"/>
      <c r="HF1482" s="8"/>
      <c r="HG1482" s="8"/>
      <c r="HH1482" s="8"/>
      <c r="HI1482" s="8"/>
      <c r="HJ1482" s="8"/>
      <c r="HK1482" s="8"/>
      <c r="HL1482" s="8"/>
      <c r="HM1482" s="8"/>
      <c r="HN1482" s="8"/>
      <c r="HO1482" s="8"/>
      <c r="HP1482" s="8"/>
      <c r="HQ1482" s="8"/>
      <c r="HR1482" s="8"/>
      <c r="HS1482" s="8"/>
      <c r="HT1482" s="8"/>
      <c r="HU1482" s="8"/>
      <c r="HV1482" s="8"/>
      <c r="HW1482" s="8"/>
      <c r="HX1482" s="8"/>
      <c r="HY1482" s="8"/>
      <c r="HZ1482" s="8"/>
      <c r="IA1482" s="8"/>
      <c r="IB1482" s="8"/>
      <c r="IC1482" s="8"/>
      <c r="ID1482" s="8"/>
      <c r="IE1482" s="8"/>
      <c r="IF1482" s="8"/>
    </row>
    <row r="1483" spans="1:240">
      <c r="A1483" s="14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8"/>
      <c r="AP1483" s="8"/>
      <c r="AQ1483" s="8"/>
      <c r="AR1483" s="8"/>
      <c r="AS1483" s="8"/>
      <c r="AT1483" s="8"/>
      <c r="AU1483" s="8"/>
      <c r="AV1483" s="8"/>
      <c r="AW1483" s="8"/>
      <c r="AX1483" s="8"/>
      <c r="AY1483" s="8"/>
      <c r="AZ1483" s="8"/>
      <c r="BA1483" s="8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8"/>
      <c r="BM1483" s="8"/>
      <c r="BN1483" s="8"/>
      <c r="BO1483" s="8"/>
      <c r="BP1483" s="8"/>
      <c r="BQ1483" s="8"/>
      <c r="BR1483" s="8"/>
      <c r="BS1483" s="8"/>
      <c r="BT1483" s="8"/>
      <c r="BU1483" s="8"/>
      <c r="BV1483" s="8"/>
      <c r="BW1483" s="8"/>
      <c r="BX1483" s="8"/>
      <c r="BY1483" s="8"/>
      <c r="BZ1483" s="8"/>
      <c r="CA1483" s="8"/>
      <c r="CB1483" s="8"/>
      <c r="CC1483" s="8"/>
      <c r="CD1483" s="8"/>
      <c r="CE1483" s="8"/>
      <c r="CF1483" s="8"/>
      <c r="CG1483" s="8"/>
      <c r="CH1483" s="8"/>
      <c r="CI1483" s="8"/>
      <c r="CJ1483" s="8"/>
      <c r="CK1483" s="8"/>
      <c r="CL1483" s="8"/>
      <c r="CM1483" s="8"/>
      <c r="CN1483" s="8"/>
      <c r="CO1483" s="8"/>
      <c r="CP1483" s="8"/>
      <c r="CQ1483" s="8"/>
      <c r="CR1483" s="8"/>
      <c r="CS1483" s="8"/>
      <c r="CT1483" s="8"/>
      <c r="CU1483" s="8"/>
      <c r="CV1483" s="8"/>
      <c r="CW1483" s="8"/>
      <c r="CX1483" s="8"/>
      <c r="CY1483" s="8"/>
      <c r="CZ1483" s="8"/>
      <c r="DA1483" s="8"/>
      <c r="DB1483" s="8"/>
      <c r="DC1483" s="8"/>
      <c r="DD1483" s="8"/>
      <c r="DE1483" s="8"/>
      <c r="DF1483" s="8"/>
      <c r="DG1483" s="8"/>
      <c r="DH1483" s="8"/>
      <c r="DI1483" s="8"/>
      <c r="DJ1483" s="8"/>
      <c r="DK1483" s="8"/>
      <c r="DL1483" s="8"/>
      <c r="DM1483" s="8"/>
      <c r="DN1483" s="8"/>
      <c r="DO1483" s="8"/>
      <c r="DP1483" s="8"/>
      <c r="DQ1483" s="8"/>
      <c r="DR1483" s="8"/>
      <c r="DS1483" s="8"/>
      <c r="DT1483" s="8"/>
      <c r="DU1483" s="8"/>
      <c r="DV1483" s="8"/>
      <c r="DW1483" s="8"/>
      <c r="DX1483" s="8"/>
      <c r="DY1483" s="8"/>
      <c r="DZ1483" s="8"/>
      <c r="EA1483" s="8"/>
      <c r="EB1483" s="8"/>
      <c r="EC1483" s="8"/>
      <c r="ED1483" s="8"/>
      <c r="EE1483" s="8"/>
      <c r="EF1483" s="8"/>
      <c r="EG1483" s="8"/>
      <c r="EH1483" s="8"/>
      <c r="EI1483" s="8"/>
      <c r="EJ1483" s="8"/>
      <c r="EK1483" s="8"/>
      <c r="EL1483" s="8"/>
      <c r="EM1483" s="8"/>
      <c r="EN1483" s="8"/>
      <c r="EO1483" s="8"/>
      <c r="EP1483" s="8"/>
      <c r="EQ1483" s="8"/>
      <c r="ER1483" s="8"/>
      <c r="ES1483" s="8"/>
      <c r="ET1483" s="8"/>
      <c r="EU1483" s="8"/>
      <c r="EV1483" s="8"/>
      <c r="EW1483" s="8"/>
      <c r="EX1483" s="8"/>
      <c r="EY1483" s="8"/>
      <c r="EZ1483" s="8"/>
      <c r="FA1483" s="8"/>
      <c r="FB1483" s="8"/>
      <c r="FC1483" s="8"/>
      <c r="FD1483" s="8"/>
      <c r="FE1483" s="8"/>
      <c r="FF1483" s="8"/>
      <c r="FG1483" s="8"/>
      <c r="FH1483" s="8"/>
      <c r="FI1483" s="8"/>
      <c r="FJ1483" s="8"/>
      <c r="FK1483" s="8"/>
      <c r="FL1483" s="8"/>
      <c r="FM1483" s="8"/>
      <c r="FN1483" s="8"/>
      <c r="FO1483" s="8"/>
      <c r="FP1483" s="8"/>
      <c r="FQ1483" s="8"/>
      <c r="FR1483" s="8"/>
      <c r="FS1483" s="8"/>
      <c r="FT1483" s="8"/>
      <c r="FU1483" s="8"/>
      <c r="FV1483" s="8"/>
      <c r="FW1483" s="8"/>
      <c r="FX1483" s="8"/>
      <c r="FY1483" s="8"/>
      <c r="FZ1483" s="8"/>
      <c r="GA1483" s="8"/>
      <c r="GB1483" s="8"/>
      <c r="GC1483" s="8"/>
      <c r="GD1483" s="8"/>
      <c r="GE1483" s="8"/>
      <c r="GF1483" s="8"/>
      <c r="GG1483" s="8"/>
      <c r="GH1483" s="8"/>
      <c r="GI1483" s="8"/>
      <c r="GJ1483" s="8"/>
      <c r="GK1483" s="8"/>
      <c r="GL1483" s="8"/>
      <c r="GM1483" s="8"/>
      <c r="GN1483" s="8"/>
      <c r="GO1483" s="8"/>
      <c r="GP1483" s="8"/>
      <c r="GQ1483" s="8"/>
      <c r="GR1483" s="8"/>
      <c r="GS1483" s="8"/>
      <c r="GT1483" s="8"/>
      <c r="GU1483" s="8"/>
      <c r="GV1483" s="8"/>
      <c r="GW1483" s="8"/>
      <c r="GX1483" s="8"/>
      <c r="GY1483" s="8"/>
      <c r="GZ1483" s="8"/>
      <c r="HA1483" s="8"/>
      <c r="HB1483" s="8"/>
      <c r="HC1483" s="8"/>
      <c r="HD1483" s="8"/>
      <c r="HE1483" s="8"/>
      <c r="HF1483" s="8"/>
      <c r="HG1483" s="8"/>
      <c r="HH1483" s="8"/>
      <c r="HI1483" s="8"/>
      <c r="HJ1483" s="8"/>
      <c r="HK1483" s="8"/>
      <c r="HL1483" s="8"/>
      <c r="HM1483" s="8"/>
      <c r="HN1483" s="8"/>
      <c r="HO1483" s="8"/>
      <c r="HP1483" s="8"/>
      <c r="HQ1483" s="8"/>
      <c r="HR1483" s="8"/>
      <c r="HS1483" s="8"/>
      <c r="HT1483" s="8"/>
      <c r="HU1483" s="8"/>
      <c r="HV1483" s="8"/>
      <c r="HW1483" s="8"/>
      <c r="HX1483" s="8"/>
      <c r="HY1483" s="8"/>
      <c r="HZ1483" s="8"/>
      <c r="IA1483" s="8"/>
      <c r="IB1483" s="8"/>
      <c r="IC1483" s="8"/>
      <c r="ID1483" s="8"/>
      <c r="IE1483" s="8"/>
      <c r="IF1483" s="8"/>
    </row>
    <row r="1484" spans="1:240">
      <c r="A1484" s="14"/>
      <c r="B1484" s="23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8"/>
      <c r="BV1484" s="8"/>
      <c r="BW1484" s="8"/>
      <c r="BX1484" s="8"/>
      <c r="BY1484" s="8"/>
      <c r="BZ1484" s="8"/>
      <c r="CA1484" s="8"/>
      <c r="CB1484" s="8"/>
      <c r="CC1484" s="8"/>
      <c r="CD1484" s="8"/>
      <c r="CE1484" s="8"/>
      <c r="CF1484" s="8"/>
      <c r="CG1484" s="8"/>
      <c r="CH1484" s="8"/>
      <c r="CI1484" s="8"/>
      <c r="CJ1484" s="8"/>
      <c r="CK1484" s="8"/>
      <c r="CL1484" s="8"/>
      <c r="CM1484" s="8"/>
      <c r="CN1484" s="8"/>
      <c r="CO1484" s="8"/>
      <c r="CP1484" s="8"/>
      <c r="CQ1484" s="8"/>
      <c r="CR1484" s="8"/>
      <c r="CS1484" s="8"/>
      <c r="CT1484" s="8"/>
      <c r="CU1484" s="8"/>
      <c r="CV1484" s="8"/>
      <c r="CW1484" s="8"/>
      <c r="CX1484" s="8"/>
      <c r="CY1484" s="8"/>
      <c r="CZ1484" s="8"/>
      <c r="DA1484" s="8"/>
      <c r="DB1484" s="8"/>
      <c r="DC1484" s="8"/>
      <c r="DD1484" s="8"/>
      <c r="DE1484" s="8"/>
      <c r="DF1484" s="8"/>
      <c r="DG1484" s="8"/>
      <c r="DH1484" s="8"/>
      <c r="DI1484" s="8"/>
      <c r="DJ1484" s="8"/>
      <c r="DK1484" s="8"/>
      <c r="DL1484" s="8"/>
      <c r="DM1484" s="8"/>
      <c r="DN1484" s="8"/>
      <c r="DO1484" s="8"/>
      <c r="DP1484" s="8"/>
      <c r="DQ1484" s="8"/>
      <c r="DR1484" s="8"/>
      <c r="DS1484" s="8"/>
      <c r="DT1484" s="8"/>
      <c r="DU1484" s="8"/>
      <c r="DV1484" s="8"/>
      <c r="DW1484" s="8"/>
      <c r="DX1484" s="8"/>
      <c r="DY1484" s="8"/>
      <c r="DZ1484" s="8"/>
      <c r="EA1484" s="8"/>
      <c r="EB1484" s="8"/>
      <c r="EC1484" s="8"/>
      <c r="ED1484" s="8"/>
      <c r="EE1484" s="8"/>
      <c r="EF1484" s="8"/>
      <c r="EG1484" s="8"/>
      <c r="EH1484" s="8"/>
      <c r="EI1484" s="8"/>
      <c r="EJ1484" s="8"/>
      <c r="EK1484" s="8"/>
      <c r="EL1484" s="8"/>
      <c r="EM1484" s="8"/>
      <c r="EN1484" s="8"/>
      <c r="EO1484" s="8"/>
      <c r="EP1484" s="8"/>
      <c r="EQ1484" s="8"/>
      <c r="ER1484" s="8"/>
      <c r="ES1484" s="8"/>
      <c r="ET1484" s="8"/>
      <c r="EU1484" s="8"/>
      <c r="EV1484" s="8"/>
      <c r="EW1484" s="8"/>
      <c r="EX1484" s="8"/>
      <c r="EY1484" s="8"/>
      <c r="EZ1484" s="8"/>
      <c r="FA1484" s="8"/>
      <c r="FB1484" s="8"/>
      <c r="FC1484" s="8"/>
      <c r="FD1484" s="8"/>
      <c r="FE1484" s="8"/>
      <c r="FF1484" s="8"/>
      <c r="FG1484" s="8"/>
      <c r="FH1484" s="8"/>
      <c r="FI1484" s="8"/>
      <c r="FJ1484" s="8"/>
      <c r="FK1484" s="8"/>
      <c r="FL1484" s="8"/>
      <c r="FM1484" s="8"/>
      <c r="FN1484" s="8"/>
      <c r="FO1484" s="8"/>
      <c r="FP1484" s="8"/>
      <c r="FQ1484" s="8"/>
      <c r="FR1484" s="8"/>
      <c r="FS1484" s="8"/>
      <c r="FT1484" s="8"/>
      <c r="FU1484" s="8"/>
      <c r="FV1484" s="8"/>
      <c r="FW1484" s="8"/>
      <c r="FX1484" s="8"/>
      <c r="FY1484" s="8"/>
      <c r="FZ1484" s="8"/>
      <c r="GA1484" s="8"/>
      <c r="GB1484" s="8"/>
      <c r="GC1484" s="8"/>
      <c r="GD1484" s="8"/>
      <c r="GE1484" s="8"/>
      <c r="GF1484" s="8"/>
      <c r="GG1484" s="8"/>
      <c r="GH1484" s="8"/>
      <c r="GI1484" s="8"/>
      <c r="GJ1484" s="8"/>
      <c r="GK1484" s="8"/>
      <c r="GL1484" s="8"/>
      <c r="GM1484" s="8"/>
      <c r="GN1484" s="8"/>
      <c r="GO1484" s="8"/>
      <c r="GP1484" s="8"/>
      <c r="GQ1484" s="8"/>
      <c r="GR1484" s="8"/>
      <c r="GS1484" s="8"/>
      <c r="GT1484" s="8"/>
      <c r="GU1484" s="8"/>
      <c r="GV1484" s="8"/>
      <c r="GW1484" s="8"/>
      <c r="GX1484" s="8"/>
      <c r="GY1484" s="8"/>
      <c r="GZ1484" s="8"/>
      <c r="HA1484" s="8"/>
      <c r="HB1484" s="8"/>
      <c r="HC1484" s="8"/>
      <c r="HD1484" s="8"/>
      <c r="HE1484" s="8"/>
      <c r="HF1484" s="8"/>
      <c r="HG1484" s="8"/>
      <c r="HH1484" s="8"/>
      <c r="HI1484" s="8"/>
      <c r="HJ1484" s="8"/>
      <c r="HK1484" s="8"/>
      <c r="HL1484" s="8"/>
      <c r="HM1484" s="8"/>
      <c r="HN1484" s="8"/>
      <c r="HO1484" s="8"/>
      <c r="HP1484" s="8"/>
      <c r="HQ1484" s="8"/>
      <c r="HR1484" s="8"/>
      <c r="HS1484" s="8"/>
      <c r="HT1484" s="8"/>
      <c r="HU1484" s="8"/>
      <c r="HV1484" s="8"/>
      <c r="HW1484" s="8"/>
      <c r="HX1484" s="8"/>
      <c r="HY1484" s="8"/>
      <c r="HZ1484" s="8"/>
      <c r="IA1484" s="8"/>
      <c r="IB1484" s="8"/>
      <c r="IC1484" s="8"/>
      <c r="ID1484" s="8"/>
      <c r="IE1484" s="8"/>
      <c r="IF1484" s="8"/>
    </row>
    <row r="1485" spans="1:240">
      <c r="A1485" s="14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8"/>
      <c r="AP1485" s="8"/>
      <c r="AQ1485" s="8"/>
      <c r="AR1485" s="8"/>
      <c r="AS1485" s="8"/>
      <c r="AT1485" s="8"/>
      <c r="AU1485" s="8"/>
      <c r="AV1485" s="8"/>
      <c r="AW1485" s="8"/>
      <c r="AX1485" s="8"/>
      <c r="AY1485" s="8"/>
      <c r="AZ1485" s="8"/>
      <c r="BA1485" s="8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8"/>
      <c r="BV1485" s="8"/>
      <c r="BW1485" s="8"/>
      <c r="BX1485" s="8"/>
      <c r="BY1485" s="8"/>
      <c r="BZ1485" s="8"/>
      <c r="CA1485" s="8"/>
      <c r="CB1485" s="8"/>
      <c r="CC1485" s="8"/>
      <c r="CD1485" s="8"/>
      <c r="CE1485" s="8"/>
      <c r="CF1485" s="8"/>
      <c r="CG1485" s="8"/>
      <c r="CH1485" s="8"/>
      <c r="CI1485" s="8"/>
      <c r="CJ1485" s="8"/>
      <c r="CK1485" s="8"/>
      <c r="CL1485" s="8"/>
      <c r="CM1485" s="8"/>
      <c r="CN1485" s="8"/>
      <c r="CO1485" s="8"/>
      <c r="CP1485" s="8"/>
      <c r="CQ1485" s="8"/>
      <c r="CR1485" s="8"/>
      <c r="CS1485" s="8"/>
      <c r="CT1485" s="8"/>
      <c r="CU1485" s="8"/>
      <c r="CV1485" s="8"/>
      <c r="CW1485" s="8"/>
      <c r="CX1485" s="8"/>
      <c r="CY1485" s="8"/>
      <c r="CZ1485" s="8"/>
      <c r="DA1485" s="8"/>
      <c r="DB1485" s="8"/>
      <c r="DC1485" s="8"/>
      <c r="DD1485" s="8"/>
      <c r="DE1485" s="8"/>
      <c r="DF1485" s="8"/>
      <c r="DG1485" s="8"/>
      <c r="DH1485" s="8"/>
      <c r="DI1485" s="8"/>
      <c r="DJ1485" s="8"/>
      <c r="DK1485" s="8"/>
      <c r="DL1485" s="8"/>
      <c r="DM1485" s="8"/>
      <c r="DN1485" s="8"/>
      <c r="DO1485" s="8"/>
      <c r="DP1485" s="8"/>
      <c r="DQ1485" s="8"/>
      <c r="DR1485" s="8"/>
      <c r="DS1485" s="8"/>
      <c r="DT1485" s="8"/>
      <c r="DU1485" s="8"/>
      <c r="DV1485" s="8"/>
      <c r="DW1485" s="8"/>
      <c r="DX1485" s="8"/>
      <c r="DY1485" s="8"/>
      <c r="DZ1485" s="8"/>
      <c r="EA1485" s="8"/>
      <c r="EB1485" s="8"/>
      <c r="EC1485" s="8"/>
      <c r="ED1485" s="8"/>
      <c r="EE1485" s="8"/>
      <c r="EF1485" s="8"/>
      <c r="EG1485" s="8"/>
      <c r="EH1485" s="8"/>
      <c r="EI1485" s="8"/>
      <c r="EJ1485" s="8"/>
      <c r="EK1485" s="8"/>
      <c r="EL1485" s="8"/>
      <c r="EM1485" s="8"/>
      <c r="EN1485" s="8"/>
      <c r="EO1485" s="8"/>
      <c r="EP1485" s="8"/>
      <c r="EQ1485" s="8"/>
      <c r="ER1485" s="8"/>
      <c r="ES1485" s="8"/>
      <c r="ET1485" s="8"/>
      <c r="EU1485" s="8"/>
      <c r="EV1485" s="8"/>
      <c r="EW1485" s="8"/>
      <c r="EX1485" s="8"/>
      <c r="EY1485" s="8"/>
      <c r="EZ1485" s="8"/>
      <c r="FA1485" s="8"/>
      <c r="FB1485" s="8"/>
      <c r="FC1485" s="8"/>
      <c r="FD1485" s="8"/>
      <c r="FE1485" s="8"/>
      <c r="FF1485" s="8"/>
      <c r="FG1485" s="8"/>
      <c r="FH1485" s="8"/>
      <c r="FI1485" s="8"/>
      <c r="FJ1485" s="8"/>
      <c r="FK1485" s="8"/>
      <c r="FL1485" s="8"/>
      <c r="FM1485" s="8"/>
      <c r="FN1485" s="8"/>
      <c r="FO1485" s="8"/>
      <c r="FP1485" s="8"/>
      <c r="FQ1485" s="8"/>
      <c r="FR1485" s="8"/>
      <c r="FS1485" s="8"/>
      <c r="FT1485" s="8"/>
      <c r="FU1485" s="8"/>
      <c r="FV1485" s="8"/>
      <c r="FW1485" s="8"/>
      <c r="FX1485" s="8"/>
      <c r="FY1485" s="8"/>
      <c r="FZ1485" s="8"/>
      <c r="GA1485" s="8"/>
      <c r="GB1485" s="8"/>
      <c r="GC1485" s="8"/>
      <c r="GD1485" s="8"/>
      <c r="GE1485" s="8"/>
      <c r="GF1485" s="8"/>
      <c r="GG1485" s="8"/>
      <c r="GH1485" s="8"/>
      <c r="GI1485" s="8"/>
      <c r="GJ1485" s="8"/>
      <c r="GK1485" s="8"/>
      <c r="GL1485" s="8"/>
      <c r="GM1485" s="8"/>
      <c r="GN1485" s="8"/>
      <c r="GO1485" s="8"/>
      <c r="GP1485" s="8"/>
      <c r="GQ1485" s="8"/>
      <c r="GR1485" s="8"/>
      <c r="GS1485" s="8"/>
      <c r="GT1485" s="8"/>
      <c r="GU1485" s="8"/>
      <c r="GV1485" s="8"/>
      <c r="GW1485" s="8"/>
      <c r="GX1485" s="8"/>
      <c r="GY1485" s="8"/>
      <c r="GZ1485" s="8"/>
      <c r="HA1485" s="8"/>
      <c r="HB1485" s="8"/>
      <c r="HC1485" s="8"/>
      <c r="HD1485" s="8"/>
      <c r="HE1485" s="8"/>
      <c r="HF1485" s="8"/>
      <c r="HG1485" s="8"/>
      <c r="HH1485" s="8"/>
      <c r="HI1485" s="8"/>
      <c r="HJ1485" s="8"/>
      <c r="HK1485" s="8"/>
      <c r="HL1485" s="8"/>
      <c r="HM1485" s="8"/>
      <c r="HN1485" s="8"/>
      <c r="HO1485" s="8"/>
      <c r="HP1485" s="8"/>
      <c r="HQ1485" s="8"/>
      <c r="HR1485" s="8"/>
      <c r="HS1485" s="8"/>
      <c r="HT1485" s="8"/>
      <c r="HU1485" s="8"/>
      <c r="HV1485" s="8"/>
      <c r="HW1485" s="8"/>
      <c r="HX1485" s="8"/>
      <c r="HY1485" s="8"/>
      <c r="HZ1485" s="8"/>
      <c r="IA1485" s="8"/>
      <c r="IB1485" s="8"/>
      <c r="IC1485" s="8"/>
      <c r="ID1485" s="8"/>
      <c r="IE1485" s="8"/>
      <c r="IF1485" s="8"/>
    </row>
    <row r="1486" spans="1:240">
      <c r="A1486" s="14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8"/>
      <c r="AP1486" s="8"/>
      <c r="AQ1486" s="8"/>
      <c r="AR1486" s="8"/>
      <c r="AS1486" s="8"/>
      <c r="AT1486" s="8"/>
      <c r="AU1486" s="8"/>
      <c r="AV1486" s="8"/>
      <c r="AW1486" s="8"/>
      <c r="AX1486" s="8"/>
      <c r="AY1486" s="8"/>
      <c r="AZ1486" s="8"/>
      <c r="BA1486" s="8"/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8"/>
      <c r="BV1486" s="8"/>
      <c r="BW1486" s="8"/>
      <c r="BX1486" s="8"/>
      <c r="BY1486" s="8"/>
      <c r="BZ1486" s="8"/>
      <c r="CA1486" s="8"/>
      <c r="CB1486" s="8"/>
      <c r="CC1486" s="8"/>
      <c r="CD1486" s="8"/>
      <c r="CE1486" s="8"/>
      <c r="CF1486" s="8"/>
      <c r="CG1486" s="8"/>
      <c r="CH1486" s="8"/>
      <c r="CI1486" s="8"/>
      <c r="CJ1486" s="8"/>
      <c r="CK1486" s="8"/>
      <c r="CL1486" s="8"/>
      <c r="CM1486" s="8"/>
      <c r="CN1486" s="8"/>
      <c r="CO1486" s="8"/>
      <c r="CP1486" s="8"/>
      <c r="CQ1486" s="8"/>
      <c r="CR1486" s="8"/>
      <c r="CS1486" s="8"/>
      <c r="CT1486" s="8"/>
      <c r="CU1486" s="8"/>
      <c r="CV1486" s="8"/>
      <c r="CW1486" s="8"/>
      <c r="CX1486" s="8"/>
      <c r="CY1486" s="8"/>
      <c r="CZ1486" s="8"/>
      <c r="DA1486" s="8"/>
      <c r="DB1486" s="8"/>
      <c r="DC1486" s="8"/>
      <c r="DD1486" s="8"/>
      <c r="DE1486" s="8"/>
      <c r="DF1486" s="8"/>
      <c r="DG1486" s="8"/>
      <c r="DH1486" s="8"/>
      <c r="DI1486" s="8"/>
      <c r="DJ1486" s="8"/>
      <c r="DK1486" s="8"/>
      <c r="DL1486" s="8"/>
      <c r="DM1486" s="8"/>
      <c r="DN1486" s="8"/>
      <c r="DO1486" s="8"/>
      <c r="DP1486" s="8"/>
      <c r="DQ1486" s="8"/>
      <c r="DR1486" s="8"/>
      <c r="DS1486" s="8"/>
      <c r="DT1486" s="8"/>
      <c r="DU1486" s="8"/>
      <c r="DV1486" s="8"/>
      <c r="DW1486" s="8"/>
      <c r="DX1486" s="8"/>
      <c r="DY1486" s="8"/>
      <c r="DZ1486" s="8"/>
      <c r="EA1486" s="8"/>
      <c r="EB1486" s="8"/>
      <c r="EC1486" s="8"/>
      <c r="ED1486" s="8"/>
      <c r="EE1486" s="8"/>
      <c r="EF1486" s="8"/>
      <c r="EG1486" s="8"/>
      <c r="EH1486" s="8"/>
      <c r="EI1486" s="8"/>
      <c r="EJ1486" s="8"/>
      <c r="EK1486" s="8"/>
      <c r="EL1486" s="8"/>
      <c r="EM1486" s="8"/>
      <c r="EN1486" s="8"/>
      <c r="EO1486" s="8"/>
      <c r="EP1486" s="8"/>
      <c r="EQ1486" s="8"/>
      <c r="ER1486" s="8"/>
      <c r="ES1486" s="8"/>
      <c r="ET1486" s="8"/>
      <c r="EU1486" s="8"/>
      <c r="EV1486" s="8"/>
      <c r="EW1486" s="8"/>
      <c r="EX1486" s="8"/>
      <c r="EY1486" s="8"/>
      <c r="EZ1486" s="8"/>
      <c r="FA1486" s="8"/>
      <c r="FB1486" s="8"/>
      <c r="FC1486" s="8"/>
      <c r="FD1486" s="8"/>
      <c r="FE1486" s="8"/>
      <c r="FF1486" s="8"/>
      <c r="FG1486" s="8"/>
      <c r="FH1486" s="8"/>
      <c r="FI1486" s="8"/>
      <c r="FJ1486" s="8"/>
      <c r="FK1486" s="8"/>
      <c r="FL1486" s="8"/>
      <c r="FM1486" s="8"/>
      <c r="FN1486" s="8"/>
      <c r="FO1486" s="8"/>
      <c r="FP1486" s="8"/>
      <c r="FQ1486" s="8"/>
      <c r="FR1486" s="8"/>
      <c r="FS1486" s="8"/>
      <c r="FT1486" s="8"/>
      <c r="FU1486" s="8"/>
      <c r="FV1486" s="8"/>
      <c r="FW1486" s="8"/>
      <c r="FX1486" s="8"/>
      <c r="FY1486" s="8"/>
      <c r="FZ1486" s="8"/>
      <c r="GA1486" s="8"/>
      <c r="GB1486" s="8"/>
      <c r="GC1486" s="8"/>
      <c r="GD1486" s="8"/>
      <c r="GE1486" s="8"/>
      <c r="GF1486" s="8"/>
      <c r="GG1486" s="8"/>
      <c r="GH1486" s="8"/>
      <c r="GI1486" s="8"/>
      <c r="GJ1486" s="8"/>
      <c r="GK1486" s="8"/>
      <c r="GL1486" s="8"/>
      <c r="GM1486" s="8"/>
      <c r="GN1486" s="8"/>
      <c r="GO1486" s="8"/>
      <c r="GP1486" s="8"/>
      <c r="GQ1486" s="8"/>
      <c r="GR1486" s="8"/>
      <c r="GS1486" s="8"/>
      <c r="GT1486" s="8"/>
      <c r="GU1486" s="8"/>
      <c r="GV1486" s="8"/>
      <c r="GW1486" s="8"/>
      <c r="GX1486" s="8"/>
      <c r="GY1486" s="8"/>
      <c r="GZ1486" s="8"/>
      <c r="HA1486" s="8"/>
      <c r="HB1486" s="8"/>
      <c r="HC1486" s="8"/>
      <c r="HD1486" s="8"/>
      <c r="HE1486" s="8"/>
      <c r="HF1486" s="8"/>
      <c r="HG1486" s="8"/>
      <c r="HH1486" s="8"/>
      <c r="HI1486" s="8"/>
      <c r="HJ1486" s="8"/>
      <c r="HK1486" s="8"/>
      <c r="HL1486" s="8"/>
      <c r="HM1486" s="8"/>
      <c r="HN1486" s="8"/>
      <c r="HO1486" s="8"/>
      <c r="HP1486" s="8"/>
      <c r="HQ1486" s="8"/>
      <c r="HR1486" s="8"/>
      <c r="HS1486" s="8"/>
      <c r="HT1486" s="8"/>
      <c r="HU1486" s="8"/>
      <c r="HV1486" s="8"/>
      <c r="HW1486" s="8"/>
      <c r="HX1486" s="8"/>
      <c r="HY1486" s="8"/>
      <c r="HZ1486" s="8"/>
      <c r="IA1486" s="8"/>
      <c r="IB1486" s="8"/>
      <c r="IC1486" s="8"/>
      <c r="ID1486" s="8"/>
      <c r="IE1486" s="8"/>
      <c r="IF1486" s="8"/>
    </row>
    <row r="1487" spans="1:240">
      <c r="A1487" s="14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8"/>
      <c r="AP1487" s="8"/>
      <c r="AQ1487" s="8"/>
      <c r="AR1487" s="8"/>
      <c r="AS1487" s="8"/>
      <c r="AT1487" s="8"/>
      <c r="AU1487" s="8"/>
      <c r="AV1487" s="8"/>
      <c r="AW1487" s="8"/>
      <c r="AX1487" s="8"/>
      <c r="AY1487" s="8"/>
      <c r="AZ1487" s="8"/>
      <c r="BA1487" s="8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8"/>
      <c r="BV1487" s="8"/>
      <c r="BW1487" s="8"/>
      <c r="BX1487" s="8"/>
      <c r="BY1487" s="8"/>
      <c r="BZ1487" s="8"/>
      <c r="CA1487" s="8"/>
      <c r="CB1487" s="8"/>
      <c r="CC1487" s="8"/>
      <c r="CD1487" s="8"/>
      <c r="CE1487" s="8"/>
      <c r="CF1487" s="8"/>
      <c r="CG1487" s="8"/>
      <c r="CH1487" s="8"/>
      <c r="CI1487" s="8"/>
      <c r="CJ1487" s="8"/>
      <c r="CK1487" s="8"/>
      <c r="CL1487" s="8"/>
      <c r="CM1487" s="8"/>
      <c r="CN1487" s="8"/>
      <c r="CO1487" s="8"/>
      <c r="CP1487" s="8"/>
      <c r="CQ1487" s="8"/>
      <c r="CR1487" s="8"/>
      <c r="CS1487" s="8"/>
      <c r="CT1487" s="8"/>
      <c r="CU1487" s="8"/>
      <c r="CV1487" s="8"/>
      <c r="CW1487" s="8"/>
      <c r="CX1487" s="8"/>
      <c r="CY1487" s="8"/>
      <c r="CZ1487" s="8"/>
      <c r="DA1487" s="8"/>
      <c r="DB1487" s="8"/>
      <c r="DC1487" s="8"/>
      <c r="DD1487" s="8"/>
      <c r="DE1487" s="8"/>
      <c r="DF1487" s="8"/>
      <c r="DG1487" s="8"/>
      <c r="DH1487" s="8"/>
      <c r="DI1487" s="8"/>
      <c r="DJ1487" s="8"/>
      <c r="DK1487" s="8"/>
      <c r="DL1487" s="8"/>
      <c r="DM1487" s="8"/>
      <c r="DN1487" s="8"/>
      <c r="DO1487" s="8"/>
      <c r="DP1487" s="8"/>
      <c r="DQ1487" s="8"/>
      <c r="DR1487" s="8"/>
      <c r="DS1487" s="8"/>
      <c r="DT1487" s="8"/>
      <c r="DU1487" s="8"/>
      <c r="DV1487" s="8"/>
      <c r="DW1487" s="8"/>
      <c r="DX1487" s="8"/>
      <c r="DY1487" s="8"/>
      <c r="DZ1487" s="8"/>
      <c r="EA1487" s="8"/>
      <c r="EB1487" s="8"/>
      <c r="EC1487" s="8"/>
      <c r="ED1487" s="8"/>
      <c r="EE1487" s="8"/>
      <c r="EF1487" s="8"/>
      <c r="EG1487" s="8"/>
      <c r="EH1487" s="8"/>
      <c r="EI1487" s="8"/>
      <c r="EJ1487" s="8"/>
      <c r="EK1487" s="8"/>
      <c r="EL1487" s="8"/>
      <c r="EM1487" s="8"/>
      <c r="EN1487" s="8"/>
      <c r="EO1487" s="8"/>
      <c r="EP1487" s="8"/>
      <c r="EQ1487" s="8"/>
      <c r="ER1487" s="8"/>
      <c r="ES1487" s="8"/>
      <c r="ET1487" s="8"/>
      <c r="EU1487" s="8"/>
      <c r="EV1487" s="8"/>
      <c r="EW1487" s="8"/>
      <c r="EX1487" s="8"/>
      <c r="EY1487" s="8"/>
      <c r="EZ1487" s="8"/>
      <c r="FA1487" s="8"/>
      <c r="FB1487" s="8"/>
      <c r="FC1487" s="8"/>
      <c r="FD1487" s="8"/>
      <c r="FE1487" s="8"/>
      <c r="FF1487" s="8"/>
      <c r="FG1487" s="8"/>
      <c r="FH1487" s="8"/>
      <c r="FI1487" s="8"/>
      <c r="FJ1487" s="8"/>
      <c r="FK1487" s="8"/>
      <c r="FL1487" s="8"/>
      <c r="FM1487" s="8"/>
      <c r="FN1487" s="8"/>
      <c r="FO1487" s="8"/>
      <c r="FP1487" s="8"/>
      <c r="FQ1487" s="8"/>
      <c r="FR1487" s="8"/>
      <c r="FS1487" s="8"/>
      <c r="FT1487" s="8"/>
      <c r="FU1487" s="8"/>
      <c r="FV1487" s="8"/>
      <c r="FW1487" s="8"/>
      <c r="FX1487" s="8"/>
      <c r="FY1487" s="8"/>
      <c r="FZ1487" s="8"/>
      <c r="GA1487" s="8"/>
      <c r="GB1487" s="8"/>
      <c r="GC1487" s="8"/>
      <c r="GD1487" s="8"/>
      <c r="GE1487" s="8"/>
      <c r="GF1487" s="8"/>
      <c r="GG1487" s="8"/>
      <c r="GH1487" s="8"/>
      <c r="GI1487" s="8"/>
      <c r="GJ1487" s="8"/>
      <c r="GK1487" s="8"/>
      <c r="GL1487" s="8"/>
      <c r="GM1487" s="8"/>
      <c r="GN1487" s="8"/>
      <c r="GO1487" s="8"/>
      <c r="GP1487" s="8"/>
      <c r="GQ1487" s="8"/>
      <c r="GR1487" s="8"/>
      <c r="GS1487" s="8"/>
      <c r="GT1487" s="8"/>
      <c r="GU1487" s="8"/>
      <c r="GV1487" s="8"/>
      <c r="GW1487" s="8"/>
      <c r="GX1487" s="8"/>
      <c r="GY1487" s="8"/>
      <c r="GZ1487" s="8"/>
      <c r="HA1487" s="8"/>
      <c r="HB1487" s="8"/>
      <c r="HC1487" s="8"/>
      <c r="HD1487" s="8"/>
      <c r="HE1487" s="8"/>
      <c r="HF1487" s="8"/>
      <c r="HG1487" s="8"/>
      <c r="HH1487" s="8"/>
      <c r="HI1487" s="8"/>
      <c r="HJ1487" s="8"/>
      <c r="HK1487" s="8"/>
      <c r="HL1487" s="8"/>
      <c r="HM1487" s="8"/>
      <c r="HN1487" s="8"/>
      <c r="HO1487" s="8"/>
      <c r="HP1487" s="8"/>
      <c r="HQ1487" s="8"/>
      <c r="HR1487" s="8"/>
      <c r="HS1487" s="8"/>
      <c r="HT1487" s="8"/>
      <c r="HU1487" s="8"/>
      <c r="HV1487" s="8"/>
      <c r="HW1487" s="8"/>
      <c r="HX1487" s="8"/>
      <c r="HY1487" s="8"/>
      <c r="HZ1487" s="8"/>
      <c r="IA1487" s="8"/>
      <c r="IB1487" s="8"/>
      <c r="IC1487" s="8"/>
      <c r="ID1487" s="8"/>
      <c r="IE1487" s="8"/>
      <c r="IF1487" s="8"/>
    </row>
    <row r="1488" spans="1:240">
      <c r="A1488" s="14"/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  <c r="AK1488" s="23"/>
      <c r="AL1488" s="23"/>
      <c r="AM1488" s="23"/>
      <c r="AN1488" s="23"/>
      <c r="AO1488" s="8"/>
      <c r="AP1488" s="8"/>
      <c r="AQ1488" s="8"/>
      <c r="AR1488" s="8"/>
      <c r="AS1488" s="8"/>
      <c r="AT1488" s="8"/>
      <c r="AU1488" s="8"/>
      <c r="AV1488" s="8"/>
      <c r="AW1488" s="8"/>
      <c r="AX1488" s="8"/>
      <c r="AY1488" s="8"/>
      <c r="AZ1488" s="8"/>
      <c r="BA1488" s="8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/>
      <c r="CA1488" s="8"/>
      <c r="CB1488" s="8"/>
      <c r="CC1488" s="8"/>
      <c r="CD1488" s="8"/>
      <c r="CE1488" s="8"/>
      <c r="CF1488" s="8"/>
      <c r="CG1488" s="8"/>
      <c r="CH1488" s="8"/>
      <c r="CI1488" s="8"/>
      <c r="CJ1488" s="8"/>
      <c r="CK1488" s="8"/>
      <c r="CL1488" s="8"/>
      <c r="CM1488" s="8"/>
      <c r="CN1488" s="8"/>
      <c r="CO1488" s="8"/>
      <c r="CP1488" s="8"/>
      <c r="CQ1488" s="8"/>
      <c r="CR1488" s="8"/>
      <c r="CS1488" s="8"/>
      <c r="CT1488" s="8"/>
      <c r="CU1488" s="8"/>
      <c r="CV1488" s="8"/>
      <c r="CW1488" s="8"/>
      <c r="CX1488" s="8"/>
      <c r="CY1488" s="8"/>
      <c r="CZ1488" s="8"/>
      <c r="DA1488" s="8"/>
      <c r="DB1488" s="8"/>
      <c r="DC1488" s="8"/>
      <c r="DD1488" s="8"/>
      <c r="DE1488" s="8"/>
      <c r="DF1488" s="8"/>
      <c r="DG1488" s="8"/>
      <c r="DH1488" s="8"/>
      <c r="DI1488" s="8"/>
      <c r="DJ1488" s="8"/>
      <c r="DK1488" s="8"/>
      <c r="DL1488" s="8"/>
      <c r="DM1488" s="8"/>
      <c r="DN1488" s="8"/>
      <c r="DO1488" s="8"/>
      <c r="DP1488" s="8"/>
      <c r="DQ1488" s="8"/>
      <c r="DR1488" s="8"/>
      <c r="DS1488" s="8"/>
      <c r="DT1488" s="8"/>
      <c r="DU1488" s="8"/>
      <c r="DV1488" s="8"/>
      <c r="DW1488" s="8"/>
      <c r="DX1488" s="8"/>
      <c r="DY1488" s="8"/>
      <c r="DZ1488" s="8"/>
      <c r="EA1488" s="8"/>
      <c r="EB1488" s="8"/>
      <c r="EC1488" s="8"/>
      <c r="ED1488" s="8"/>
      <c r="EE1488" s="8"/>
      <c r="EF1488" s="8"/>
      <c r="EG1488" s="8"/>
      <c r="EH1488" s="8"/>
      <c r="EI1488" s="8"/>
      <c r="EJ1488" s="8"/>
      <c r="EK1488" s="8"/>
      <c r="EL1488" s="8"/>
      <c r="EM1488" s="8"/>
      <c r="EN1488" s="8"/>
      <c r="EO1488" s="8"/>
      <c r="EP1488" s="8"/>
      <c r="EQ1488" s="8"/>
      <c r="ER1488" s="8"/>
      <c r="ES1488" s="8"/>
      <c r="ET1488" s="8"/>
      <c r="EU1488" s="8"/>
      <c r="EV1488" s="8"/>
      <c r="EW1488" s="8"/>
      <c r="EX1488" s="8"/>
      <c r="EY1488" s="8"/>
      <c r="EZ1488" s="8"/>
      <c r="FA1488" s="8"/>
      <c r="FB1488" s="8"/>
      <c r="FC1488" s="8"/>
      <c r="FD1488" s="8"/>
      <c r="FE1488" s="8"/>
      <c r="FF1488" s="8"/>
      <c r="FG1488" s="8"/>
      <c r="FH1488" s="8"/>
      <c r="FI1488" s="8"/>
      <c r="FJ1488" s="8"/>
      <c r="FK1488" s="8"/>
      <c r="FL1488" s="8"/>
      <c r="FM1488" s="8"/>
      <c r="FN1488" s="8"/>
      <c r="FO1488" s="8"/>
      <c r="FP1488" s="8"/>
      <c r="FQ1488" s="8"/>
      <c r="FR1488" s="8"/>
      <c r="FS1488" s="8"/>
      <c r="FT1488" s="8"/>
      <c r="FU1488" s="8"/>
      <c r="FV1488" s="8"/>
      <c r="FW1488" s="8"/>
      <c r="FX1488" s="8"/>
      <c r="FY1488" s="8"/>
      <c r="FZ1488" s="8"/>
      <c r="GA1488" s="8"/>
      <c r="GB1488" s="8"/>
      <c r="GC1488" s="8"/>
      <c r="GD1488" s="8"/>
      <c r="GE1488" s="8"/>
      <c r="GF1488" s="8"/>
      <c r="GG1488" s="8"/>
      <c r="GH1488" s="8"/>
      <c r="GI1488" s="8"/>
      <c r="GJ1488" s="8"/>
      <c r="GK1488" s="8"/>
      <c r="GL1488" s="8"/>
      <c r="GM1488" s="8"/>
      <c r="GN1488" s="8"/>
      <c r="GO1488" s="8"/>
      <c r="GP1488" s="8"/>
      <c r="GQ1488" s="8"/>
      <c r="GR1488" s="8"/>
      <c r="GS1488" s="8"/>
      <c r="GT1488" s="8"/>
      <c r="GU1488" s="8"/>
      <c r="GV1488" s="8"/>
      <c r="GW1488" s="8"/>
      <c r="GX1488" s="8"/>
      <c r="GY1488" s="8"/>
      <c r="GZ1488" s="8"/>
      <c r="HA1488" s="8"/>
      <c r="HB1488" s="8"/>
      <c r="HC1488" s="8"/>
      <c r="HD1488" s="8"/>
      <c r="HE1488" s="8"/>
      <c r="HF1488" s="8"/>
      <c r="HG1488" s="8"/>
      <c r="HH1488" s="8"/>
      <c r="HI1488" s="8"/>
      <c r="HJ1488" s="8"/>
      <c r="HK1488" s="8"/>
      <c r="HL1488" s="8"/>
      <c r="HM1488" s="8"/>
      <c r="HN1488" s="8"/>
      <c r="HO1488" s="8"/>
      <c r="HP1488" s="8"/>
      <c r="HQ1488" s="8"/>
      <c r="HR1488" s="8"/>
      <c r="HS1488" s="8"/>
      <c r="HT1488" s="8"/>
      <c r="HU1488" s="8"/>
      <c r="HV1488" s="8"/>
      <c r="HW1488" s="8"/>
      <c r="HX1488" s="8"/>
      <c r="HY1488" s="8"/>
      <c r="HZ1488" s="8"/>
      <c r="IA1488" s="8"/>
      <c r="IB1488" s="8"/>
      <c r="IC1488" s="8"/>
      <c r="ID1488" s="8"/>
      <c r="IE1488" s="8"/>
      <c r="IF1488" s="8"/>
    </row>
    <row r="1489" spans="1:240">
      <c r="A1489" s="14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  <c r="AL1489" s="23"/>
      <c r="AM1489" s="23"/>
      <c r="AN1489" s="23"/>
      <c r="AO1489" s="8"/>
      <c r="AP1489" s="8"/>
      <c r="AQ1489" s="8"/>
      <c r="AR1489" s="8"/>
      <c r="AS1489" s="8"/>
      <c r="AT1489" s="8"/>
      <c r="AU1489" s="8"/>
      <c r="AV1489" s="8"/>
      <c r="AW1489" s="8"/>
      <c r="AX1489" s="8"/>
      <c r="AY1489" s="8"/>
      <c r="AZ1489" s="8"/>
      <c r="BA1489" s="8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/>
      <c r="BZ1489" s="8"/>
      <c r="CA1489" s="8"/>
      <c r="CB1489" s="8"/>
      <c r="CC1489" s="8"/>
      <c r="CD1489" s="8"/>
      <c r="CE1489" s="8"/>
      <c r="CF1489" s="8"/>
      <c r="CG1489" s="8"/>
      <c r="CH1489" s="8"/>
      <c r="CI1489" s="8"/>
      <c r="CJ1489" s="8"/>
      <c r="CK1489" s="8"/>
      <c r="CL1489" s="8"/>
      <c r="CM1489" s="8"/>
      <c r="CN1489" s="8"/>
      <c r="CO1489" s="8"/>
      <c r="CP1489" s="8"/>
      <c r="CQ1489" s="8"/>
      <c r="CR1489" s="8"/>
      <c r="CS1489" s="8"/>
      <c r="CT1489" s="8"/>
      <c r="CU1489" s="8"/>
      <c r="CV1489" s="8"/>
      <c r="CW1489" s="8"/>
      <c r="CX1489" s="8"/>
      <c r="CY1489" s="8"/>
      <c r="CZ1489" s="8"/>
      <c r="DA1489" s="8"/>
      <c r="DB1489" s="8"/>
      <c r="DC1489" s="8"/>
      <c r="DD1489" s="8"/>
      <c r="DE1489" s="8"/>
      <c r="DF1489" s="8"/>
      <c r="DG1489" s="8"/>
      <c r="DH1489" s="8"/>
      <c r="DI1489" s="8"/>
      <c r="DJ1489" s="8"/>
      <c r="DK1489" s="8"/>
      <c r="DL1489" s="8"/>
      <c r="DM1489" s="8"/>
      <c r="DN1489" s="8"/>
      <c r="DO1489" s="8"/>
      <c r="DP1489" s="8"/>
      <c r="DQ1489" s="8"/>
      <c r="DR1489" s="8"/>
      <c r="DS1489" s="8"/>
      <c r="DT1489" s="8"/>
      <c r="DU1489" s="8"/>
      <c r="DV1489" s="8"/>
      <c r="DW1489" s="8"/>
      <c r="DX1489" s="8"/>
      <c r="DY1489" s="8"/>
      <c r="DZ1489" s="8"/>
      <c r="EA1489" s="8"/>
      <c r="EB1489" s="8"/>
      <c r="EC1489" s="8"/>
      <c r="ED1489" s="8"/>
      <c r="EE1489" s="8"/>
      <c r="EF1489" s="8"/>
      <c r="EG1489" s="8"/>
      <c r="EH1489" s="8"/>
      <c r="EI1489" s="8"/>
      <c r="EJ1489" s="8"/>
      <c r="EK1489" s="8"/>
      <c r="EL1489" s="8"/>
      <c r="EM1489" s="8"/>
      <c r="EN1489" s="8"/>
      <c r="EO1489" s="8"/>
      <c r="EP1489" s="8"/>
      <c r="EQ1489" s="8"/>
      <c r="ER1489" s="8"/>
      <c r="ES1489" s="8"/>
      <c r="ET1489" s="8"/>
      <c r="EU1489" s="8"/>
      <c r="EV1489" s="8"/>
      <c r="EW1489" s="8"/>
      <c r="EX1489" s="8"/>
      <c r="EY1489" s="8"/>
      <c r="EZ1489" s="8"/>
      <c r="FA1489" s="8"/>
      <c r="FB1489" s="8"/>
      <c r="FC1489" s="8"/>
      <c r="FD1489" s="8"/>
      <c r="FE1489" s="8"/>
      <c r="FF1489" s="8"/>
      <c r="FG1489" s="8"/>
      <c r="FH1489" s="8"/>
      <c r="FI1489" s="8"/>
      <c r="FJ1489" s="8"/>
      <c r="FK1489" s="8"/>
      <c r="FL1489" s="8"/>
      <c r="FM1489" s="8"/>
      <c r="FN1489" s="8"/>
      <c r="FO1489" s="8"/>
      <c r="FP1489" s="8"/>
      <c r="FQ1489" s="8"/>
      <c r="FR1489" s="8"/>
      <c r="FS1489" s="8"/>
      <c r="FT1489" s="8"/>
      <c r="FU1489" s="8"/>
      <c r="FV1489" s="8"/>
      <c r="FW1489" s="8"/>
      <c r="FX1489" s="8"/>
      <c r="FY1489" s="8"/>
      <c r="FZ1489" s="8"/>
      <c r="GA1489" s="8"/>
      <c r="GB1489" s="8"/>
      <c r="GC1489" s="8"/>
      <c r="GD1489" s="8"/>
      <c r="GE1489" s="8"/>
      <c r="GF1489" s="8"/>
      <c r="GG1489" s="8"/>
      <c r="GH1489" s="8"/>
      <c r="GI1489" s="8"/>
      <c r="GJ1489" s="8"/>
      <c r="GK1489" s="8"/>
      <c r="GL1489" s="8"/>
      <c r="GM1489" s="8"/>
      <c r="GN1489" s="8"/>
      <c r="GO1489" s="8"/>
      <c r="GP1489" s="8"/>
      <c r="GQ1489" s="8"/>
      <c r="GR1489" s="8"/>
      <c r="GS1489" s="8"/>
      <c r="GT1489" s="8"/>
      <c r="GU1489" s="8"/>
      <c r="GV1489" s="8"/>
      <c r="GW1489" s="8"/>
      <c r="GX1489" s="8"/>
      <c r="GY1489" s="8"/>
      <c r="GZ1489" s="8"/>
      <c r="HA1489" s="8"/>
      <c r="HB1489" s="8"/>
      <c r="HC1489" s="8"/>
      <c r="HD1489" s="8"/>
      <c r="HE1489" s="8"/>
      <c r="HF1489" s="8"/>
      <c r="HG1489" s="8"/>
      <c r="HH1489" s="8"/>
      <c r="HI1489" s="8"/>
      <c r="HJ1489" s="8"/>
      <c r="HK1489" s="8"/>
      <c r="HL1489" s="8"/>
      <c r="HM1489" s="8"/>
      <c r="HN1489" s="8"/>
      <c r="HO1489" s="8"/>
      <c r="HP1489" s="8"/>
      <c r="HQ1489" s="8"/>
      <c r="HR1489" s="8"/>
      <c r="HS1489" s="8"/>
      <c r="HT1489" s="8"/>
      <c r="HU1489" s="8"/>
      <c r="HV1489" s="8"/>
      <c r="HW1489" s="8"/>
      <c r="HX1489" s="8"/>
      <c r="HY1489" s="8"/>
      <c r="HZ1489" s="8"/>
      <c r="IA1489" s="8"/>
      <c r="IB1489" s="8"/>
      <c r="IC1489" s="8"/>
      <c r="ID1489" s="8"/>
      <c r="IE1489" s="8"/>
      <c r="IF1489" s="8"/>
    </row>
    <row r="1490" spans="1:240">
      <c r="A1490" s="14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8"/>
      <c r="AP1490" s="8"/>
      <c r="AQ1490" s="8"/>
      <c r="AR1490" s="8"/>
      <c r="AS1490" s="8"/>
      <c r="AT1490" s="8"/>
      <c r="AU1490" s="8"/>
      <c r="AV1490" s="8"/>
      <c r="AW1490" s="8"/>
      <c r="AX1490" s="8"/>
      <c r="AY1490" s="8"/>
      <c r="AZ1490" s="8"/>
      <c r="BA1490" s="8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8"/>
      <c r="BV1490" s="8"/>
      <c r="BW1490" s="8"/>
      <c r="BX1490" s="8"/>
      <c r="BY1490" s="8"/>
      <c r="BZ1490" s="8"/>
      <c r="CA1490" s="8"/>
      <c r="CB1490" s="8"/>
      <c r="CC1490" s="8"/>
      <c r="CD1490" s="8"/>
      <c r="CE1490" s="8"/>
      <c r="CF1490" s="8"/>
      <c r="CG1490" s="8"/>
      <c r="CH1490" s="8"/>
      <c r="CI1490" s="8"/>
      <c r="CJ1490" s="8"/>
      <c r="CK1490" s="8"/>
      <c r="CL1490" s="8"/>
      <c r="CM1490" s="8"/>
      <c r="CN1490" s="8"/>
      <c r="CO1490" s="8"/>
      <c r="CP1490" s="8"/>
      <c r="CQ1490" s="8"/>
      <c r="CR1490" s="8"/>
      <c r="CS1490" s="8"/>
      <c r="CT1490" s="8"/>
      <c r="CU1490" s="8"/>
      <c r="CV1490" s="8"/>
      <c r="CW1490" s="8"/>
      <c r="CX1490" s="8"/>
      <c r="CY1490" s="8"/>
      <c r="CZ1490" s="8"/>
      <c r="DA1490" s="8"/>
      <c r="DB1490" s="8"/>
      <c r="DC1490" s="8"/>
      <c r="DD1490" s="8"/>
      <c r="DE1490" s="8"/>
      <c r="DF1490" s="8"/>
      <c r="DG1490" s="8"/>
      <c r="DH1490" s="8"/>
      <c r="DI1490" s="8"/>
      <c r="DJ1490" s="8"/>
      <c r="DK1490" s="8"/>
      <c r="DL1490" s="8"/>
      <c r="DM1490" s="8"/>
      <c r="DN1490" s="8"/>
      <c r="DO1490" s="8"/>
      <c r="DP1490" s="8"/>
      <c r="DQ1490" s="8"/>
      <c r="DR1490" s="8"/>
      <c r="DS1490" s="8"/>
      <c r="DT1490" s="8"/>
      <c r="DU1490" s="8"/>
      <c r="DV1490" s="8"/>
      <c r="DW1490" s="8"/>
      <c r="DX1490" s="8"/>
      <c r="DY1490" s="8"/>
      <c r="DZ1490" s="8"/>
      <c r="EA1490" s="8"/>
      <c r="EB1490" s="8"/>
      <c r="EC1490" s="8"/>
      <c r="ED1490" s="8"/>
      <c r="EE1490" s="8"/>
      <c r="EF1490" s="8"/>
      <c r="EG1490" s="8"/>
      <c r="EH1490" s="8"/>
      <c r="EI1490" s="8"/>
      <c r="EJ1490" s="8"/>
      <c r="EK1490" s="8"/>
      <c r="EL1490" s="8"/>
      <c r="EM1490" s="8"/>
      <c r="EN1490" s="8"/>
      <c r="EO1490" s="8"/>
      <c r="EP1490" s="8"/>
      <c r="EQ1490" s="8"/>
      <c r="ER1490" s="8"/>
      <c r="ES1490" s="8"/>
      <c r="ET1490" s="8"/>
      <c r="EU1490" s="8"/>
      <c r="EV1490" s="8"/>
      <c r="EW1490" s="8"/>
      <c r="EX1490" s="8"/>
      <c r="EY1490" s="8"/>
      <c r="EZ1490" s="8"/>
      <c r="FA1490" s="8"/>
      <c r="FB1490" s="8"/>
      <c r="FC1490" s="8"/>
      <c r="FD1490" s="8"/>
      <c r="FE1490" s="8"/>
      <c r="FF1490" s="8"/>
      <c r="FG1490" s="8"/>
      <c r="FH1490" s="8"/>
      <c r="FI1490" s="8"/>
      <c r="FJ1490" s="8"/>
      <c r="FK1490" s="8"/>
      <c r="FL1490" s="8"/>
      <c r="FM1490" s="8"/>
      <c r="FN1490" s="8"/>
      <c r="FO1490" s="8"/>
      <c r="FP1490" s="8"/>
      <c r="FQ1490" s="8"/>
      <c r="FR1490" s="8"/>
      <c r="FS1490" s="8"/>
      <c r="FT1490" s="8"/>
      <c r="FU1490" s="8"/>
      <c r="FV1490" s="8"/>
      <c r="FW1490" s="8"/>
      <c r="FX1490" s="8"/>
      <c r="FY1490" s="8"/>
      <c r="FZ1490" s="8"/>
      <c r="GA1490" s="8"/>
      <c r="GB1490" s="8"/>
      <c r="GC1490" s="8"/>
      <c r="GD1490" s="8"/>
      <c r="GE1490" s="8"/>
      <c r="GF1490" s="8"/>
      <c r="GG1490" s="8"/>
      <c r="GH1490" s="8"/>
      <c r="GI1490" s="8"/>
      <c r="GJ1490" s="8"/>
      <c r="GK1490" s="8"/>
      <c r="GL1490" s="8"/>
      <c r="GM1490" s="8"/>
      <c r="GN1490" s="8"/>
      <c r="GO1490" s="8"/>
      <c r="GP1490" s="8"/>
      <c r="GQ1490" s="8"/>
      <c r="GR1490" s="8"/>
      <c r="GS1490" s="8"/>
      <c r="GT1490" s="8"/>
      <c r="GU1490" s="8"/>
      <c r="GV1490" s="8"/>
      <c r="GW1490" s="8"/>
      <c r="GX1490" s="8"/>
      <c r="GY1490" s="8"/>
      <c r="GZ1490" s="8"/>
      <c r="HA1490" s="8"/>
      <c r="HB1490" s="8"/>
      <c r="HC1490" s="8"/>
      <c r="HD1490" s="8"/>
      <c r="HE1490" s="8"/>
      <c r="HF1490" s="8"/>
      <c r="HG1490" s="8"/>
      <c r="HH1490" s="8"/>
      <c r="HI1490" s="8"/>
      <c r="HJ1490" s="8"/>
      <c r="HK1490" s="8"/>
      <c r="HL1490" s="8"/>
      <c r="HM1490" s="8"/>
      <c r="HN1490" s="8"/>
      <c r="HO1490" s="8"/>
      <c r="HP1490" s="8"/>
      <c r="HQ1490" s="8"/>
      <c r="HR1490" s="8"/>
      <c r="HS1490" s="8"/>
      <c r="HT1490" s="8"/>
      <c r="HU1490" s="8"/>
      <c r="HV1490" s="8"/>
      <c r="HW1490" s="8"/>
      <c r="HX1490" s="8"/>
      <c r="HY1490" s="8"/>
      <c r="HZ1490" s="8"/>
      <c r="IA1490" s="8"/>
      <c r="IB1490" s="8"/>
      <c r="IC1490" s="8"/>
      <c r="ID1490" s="8"/>
      <c r="IE1490" s="8"/>
      <c r="IF1490" s="8"/>
    </row>
    <row r="1491" spans="1:240">
      <c r="A1491" s="14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8"/>
      <c r="AP1491" s="8"/>
      <c r="AQ1491" s="8"/>
      <c r="AR1491" s="8"/>
      <c r="AS1491" s="8"/>
      <c r="AT1491" s="8"/>
      <c r="AU1491" s="8"/>
      <c r="AV1491" s="8"/>
      <c r="AW1491" s="8"/>
      <c r="AX1491" s="8"/>
      <c r="AY1491" s="8"/>
      <c r="AZ1491" s="8"/>
      <c r="BA1491" s="8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8"/>
      <c r="BV1491" s="8"/>
      <c r="BW1491" s="8"/>
      <c r="BX1491" s="8"/>
      <c r="BY1491" s="8"/>
      <c r="BZ1491" s="8"/>
      <c r="CA1491" s="8"/>
      <c r="CB1491" s="8"/>
      <c r="CC1491" s="8"/>
      <c r="CD1491" s="8"/>
      <c r="CE1491" s="8"/>
      <c r="CF1491" s="8"/>
      <c r="CG1491" s="8"/>
      <c r="CH1491" s="8"/>
      <c r="CI1491" s="8"/>
      <c r="CJ1491" s="8"/>
      <c r="CK1491" s="8"/>
      <c r="CL1491" s="8"/>
      <c r="CM1491" s="8"/>
      <c r="CN1491" s="8"/>
      <c r="CO1491" s="8"/>
      <c r="CP1491" s="8"/>
      <c r="CQ1491" s="8"/>
      <c r="CR1491" s="8"/>
      <c r="CS1491" s="8"/>
      <c r="CT1491" s="8"/>
      <c r="CU1491" s="8"/>
      <c r="CV1491" s="8"/>
      <c r="CW1491" s="8"/>
      <c r="CX1491" s="8"/>
      <c r="CY1491" s="8"/>
      <c r="CZ1491" s="8"/>
      <c r="DA1491" s="8"/>
      <c r="DB1491" s="8"/>
      <c r="DC1491" s="8"/>
      <c r="DD1491" s="8"/>
      <c r="DE1491" s="8"/>
      <c r="DF1491" s="8"/>
      <c r="DG1491" s="8"/>
      <c r="DH1491" s="8"/>
      <c r="DI1491" s="8"/>
      <c r="DJ1491" s="8"/>
      <c r="DK1491" s="8"/>
      <c r="DL1491" s="8"/>
      <c r="DM1491" s="8"/>
      <c r="DN1491" s="8"/>
      <c r="DO1491" s="8"/>
      <c r="DP1491" s="8"/>
      <c r="DQ1491" s="8"/>
      <c r="DR1491" s="8"/>
      <c r="DS1491" s="8"/>
      <c r="DT1491" s="8"/>
      <c r="DU1491" s="8"/>
      <c r="DV1491" s="8"/>
      <c r="DW1491" s="8"/>
      <c r="DX1491" s="8"/>
      <c r="DY1491" s="8"/>
      <c r="DZ1491" s="8"/>
      <c r="EA1491" s="8"/>
      <c r="EB1491" s="8"/>
      <c r="EC1491" s="8"/>
      <c r="ED1491" s="8"/>
      <c r="EE1491" s="8"/>
      <c r="EF1491" s="8"/>
      <c r="EG1491" s="8"/>
      <c r="EH1491" s="8"/>
      <c r="EI1491" s="8"/>
      <c r="EJ1491" s="8"/>
      <c r="EK1491" s="8"/>
      <c r="EL1491" s="8"/>
      <c r="EM1491" s="8"/>
      <c r="EN1491" s="8"/>
      <c r="EO1491" s="8"/>
      <c r="EP1491" s="8"/>
      <c r="EQ1491" s="8"/>
      <c r="ER1491" s="8"/>
      <c r="ES1491" s="8"/>
      <c r="ET1491" s="8"/>
      <c r="EU1491" s="8"/>
      <c r="EV1491" s="8"/>
      <c r="EW1491" s="8"/>
      <c r="EX1491" s="8"/>
      <c r="EY1491" s="8"/>
      <c r="EZ1491" s="8"/>
      <c r="FA1491" s="8"/>
      <c r="FB1491" s="8"/>
      <c r="FC1491" s="8"/>
      <c r="FD1491" s="8"/>
      <c r="FE1491" s="8"/>
      <c r="FF1491" s="8"/>
      <c r="FG1491" s="8"/>
      <c r="FH1491" s="8"/>
      <c r="FI1491" s="8"/>
      <c r="FJ1491" s="8"/>
      <c r="FK1491" s="8"/>
      <c r="FL1491" s="8"/>
      <c r="FM1491" s="8"/>
      <c r="FN1491" s="8"/>
      <c r="FO1491" s="8"/>
      <c r="FP1491" s="8"/>
      <c r="FQ1491" s="8"/>
      <c r="FR1491" s="8"/>
      <c r="FS1491" s="8"/>
      <c r="FT1491" s="8"/>
      <c r="FU1491" s="8"/>
      <c r="FV1491" s="8"/>
      <c r="FW1491" s="8"/>
      <c r="FX1491" s="8"/>
      <c r="FY1491" s="8"/>
      <c r="FZ1491" s="8"/>
      <c r="GA1491" s="8"/>
      <c r="GB1491" s="8"/>
      <c r="GC1491" s="8"/>
      <c r="GD1491" s="8"/>
      <c r="GE1491" s="8"/>
      <c r="GF1491" s="8"/>
      <c r="GG1491" s="8"/>
      <c r="GH1491" s="8"/>
      <c r="GI1491" s="8"/>
      <c r="GJ1491" s="8"/>
      <c r="GK1491" s="8"/>
      <c r="GL1491" s="8"/>
      <c r="GM1491" s="8"/>
      <c r="GN1491" s="8"/>
      <c r="GO1491" s="8"/>
      <c r="GP1491" s="8"/>
      <c r="GQ1491" s="8"/>
      <c r="GR1491" s="8"/>
      <c r="GS1491" s="8"/>
      <c r="GT1491" s="8"/>
      <c r="GU1491" s="8"/>
      <c r="GV1491" s="8"/>
      <c r="GW1491" s="8"/>
      <c r="GX1491" s="8"/>
      <c r="GY1491" s="8"/>
      <c r="GZ1491" s="8"/>
      <c r="HA1491" s="8"/>
      <c r="HB1491" s="8"/>
      <c r="HC1491" s="8"/>
      <c r="HD1491" s="8"/>
      <c r="HE1491" s="8"/>
      <c r="HF1491" s="8"/>
      <c r="HG1491" s="8"/>
      <c r="HH1491" s="8"/>
      <c r="HI1491" s="8"/>
      <c r="HJ1491" s="8"/>
      <c r="HK1491" s="8"/>
      <c r="HL1491" s="8"/>
      <c r="HM1491" s="8"/>
      <c r="HN1491" s="8"/>
      <c r="HO1491" s="8"/>
      <c r="HP1491" s="8"/>
      <c r="HQ1491" s="8"/>
      <c r="HR1491" s="8"/>
      <c r="HS1491" s="8"/>
      <c r="HT1491" s="8"/>
      <c r="HU1491" s="8"/>
      <c r="HV1491" s="8"/>
      <c r="HW1491" s="8"/>
      <c r="HX1491" s="8"/>
      <c r="HY1491" s="8"/>
      <c r="HZ1491" s="8"/>
      <c r="IA1491" s="8"/>
      <c r="IB1491" s="8"/>
      <c r="IC1491" s="8"/>
      <c r="ID1491" s="8"/>
      <c r="IE1491" s="8"/>
      <c r="IF1491" s="8"/>
    </row>
    <row r="1492" spans="1:240">
      <c r="A1492" s="14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8"/>
      <c r="AP1492" s="8"/>
      <c r="AQ1492" s="8"/>
      <c r="AR1492" s="8"/>
      <c r="AS1492" s="8"/>
      <c r="AT1492" s="8"/>
      <c r="AU1492" s="8"/>
      <c r="AV1492" s="8"/>
      <c r="AW1492" s="8"/>
      <c r="AX1492" s="8"/>
      <c r="AY1492" s="8"/>
      <c r="AZ1492" s="8"/>
      <c r="BA1492" s="8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/>
      <c r="CB1492" s="8"/>
      <c r="CC1492" s="8"/>
      <c r="CD1492" s="8"/>
      <c r="CE1492" s="8"/>
      <c r="CF1492" s="8"/>
      <c r="CG1492" s="8"/>
      <c r="CH1492" s="8"/>
      <c r="CI1492" s="8"/>
      <c r="CJ1492" s="8"/>
      <c r="CK1492" s="8"/>
      <c r="CL1492" s="8"/>
      <c r="CM1492" s="8"/>
      <c r="CN1492" s="8"/>
      <c r="CO1492" s="8"/>
      <c r="CP1492" s="8"/>
      <c r="CQ1492" s="8"/>
      <c r="CR1492" s="8"/>
      <c r="CS1492" s="8"/>
      <c r="CT1492" s="8"/>
      <c r="CU1492" s="8"/>
      <c r="CV1492" s="8"/>
      <c r="CW1492" s="8"/>
      <c r="CX1492" s="8"/>
      <c r="CY1492" s="8"/>
      <c r="CZ1492" s="8"/>
      <c r="DA1492" s="8"/>
      <c r="DB1492" s="8"/>
      <c r="DC1492" s="8"/>
      <c r="DD1492" s="8"/>
      <c r="DE1492" s="8"/>
      <c r="DF1492" s="8"/>
      <c r="DG1492" s="8"/>
      <c r="DH1492" s="8"/>
      <c r="DI1492" s="8"/>
      <c r="DJ1492" s="8"/>
      <c r="DK1492" s="8"/>
      <c r="DL1492" s="8"/>
      <c r="DM1492" s="8"/>
      <c r="DN1492" s="8"/>
      <c r="DO1492" s="8"/>
      <c r="DP1492" s="8"/>
      <c r="DQ1492" s="8"/>
      <c r="DR1492" s="8"/>
      <c r="DS1492" s="8"/>
      <c r="DT1492" s="8"/>
      <c r="DU1492" s="8"/>
      <c r="DV1492" s="8"/>
      <c r="DW1492" s="8"/>
      <c r="DX1492" s="8"/>
      <c r="DY1492" s="8"/>
      <c r="DZ1492" s="8"/>
      <c r="EA1492" s="8"/>
      <c r="EB1492" s="8"/>
      <c r="EC1492" s="8"/>
      <c r="ED1492" s="8"/>
      <c r="EE1492" s="8"/>
      <c r="EF1492" s="8"/>
      <c r="EG1492" s="8"/>
      <c r="EH1492" s="8"/>
      <c r="EI1492" s="8"/>
      <c r="EJ1492" s="8"/>
      <c r="EK1492" s="8"/>
      <c r="EL1492" s="8"/>
      <c r="EM1492" s="8"/>
      <c r="EN1492" s="8"/>
      <c r="EO1492" s="8"/>
      <c r="EP1492" s="8"/>
      <c r="EQ1492" s="8"/>
      <c r="ER1492" s="8"/>
      <c r="ES1492" s="8"/>
      <c r="ET1492" s="8"/>
      <c r="EU1492" s="8"/>
      <c r="EV1492" s="8"/>
      <c r="EW1492" s="8"/>
      <c r="EX1492" s="8"/>
      <c r="EY1492" s="8"/>
      <c r="EZ1492" s="8"/>
      <c r="FA1492" s="8"/>
      <c r="FB1492" s="8"/>
      <c r="FC1492" s="8"/>
      <c r="FD1492" s="8"/>
      <c r="FE1492" s="8"/>
      <c r="FF1492" s="8"/>
      <c r="FG1492" s="8"/>
      <c r="FH1492" s="8"/>
      <c r="FI1492" s="8"/>
      <c r="FJ1492" s="8"/>
      <c r="FK1492" s="8"/>
      <c r="FL1492" s="8"/>
      <c r="FM1492" s="8"/>
      <c r="FN1492" s="8"/>
      <c r="FO1492" s="8"/>
      <c r="FP1492" s="8"/>
      <c r="FQ1492" s="8"/>
      <c r="FR1492" s="8"/>
      <c r="FS1492" s="8"/>
      <c r="FT1492" s="8"/>
      <c r="FU1492" s="8"/>
      <c r="FV1492" s="8"/>
      <c r="FW1492" s="8"/>
      <c r="FX1492" s="8"/>
      <c r="FY1492" s="8"/>
      <c r="FZ1492" s="8"/>
      <c r="GA1492" s="8"/>
      <c r="GB1492" s="8"/>
      <c r="GC1492" s="8"/>
      <c r="GD1492" s="8"/>
      <c r="GE1492" s="8"/>
      <c r="GF1492" s="8"/>
      <c r="GG1492" s="8"/>
      <c r="GH1492" s="8"/>
      <c r="GI1492" s="8"/>
      <c r="GJ1492" s="8"/>
      <c r="GK1492" s="8"/>
      <c r="GL1492" s="8"/>
      <c r="GM1492" s="8"/>
      <c r="GN1492" s="8"/>
      <c r="GO1492" s="8"/>
      <c r="GP1492" s="8"/>
      <c r="GQ1492" s="8"/>
      <c r="GR1492" s="8"/>
      <c r="GS1492" s="8"/>
      <c r="GT1492" s="8"/>
      <c r="GU1492" s="8"/>
      <c r="GV1492" s="8"/>
      <c r="GW1492" s="8"/>
      <c r="GX1492" s="8"/>
      <c r="GY1492" s="8"/>
      <c r="GZ1492" s="8"/>
      <c r="HA1492" s="8"/>
      <c r="HB1492" s="8"/>
      <c r="HC1492" s="8"/>
      <c r="HD1492" s="8"/>
      <c r="HE1492" s="8"/>
      <c r="HF1492" s="8"/>
      <c r="HG1492" s="8"/>
      <c r="HH1492" s="8"/>
      <c r="HI1492" s="8"/>
      <c r="HJ1492" s="8"/>
      <c r="HK1492" s="8"/>
      <c r="HL1492" s="8"/>
      <c r="HM1492" s="8"/>
      <c r="HN1492" s="8"/>
      <c r="HO1492" s="8"/>
      <c r="HP1492" s="8"/>
      <c r="HQ1492" s="8"/>
      <c r="HR1492" s="8"/>
      <c r="HS1492" s="8"/>
      <c r="HT1492" s="8"/>
      <c r="HU1492" s="8"/>
      <c r="HV1492" s="8"/>
      <c r="HW1492" s="8"/>
      <c r="HX1492" s="8"/>
      <c r="HY1492" s="8"/>
      <c r="HZ1492" s="8"/>
      <c r="IA1492" s="8"/>
      <c r="IB1492" s="8"/>
      <c r="IC1492" s="8"/>
      <c r="ID1492" s="8"/>
      <c r="IE1492" s="8"/>
      <c r="IF1492" s="8"/>
    </row>
    <row r="1493" spans="1:240">
      <c r="A1493" s="14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8"/>
      <c r="AP1493" s="8"/>
      <c r="AQ1493" s="8"/>
      <c r="AR1493" s="8"/>
      <c r="AS1493" s="8"/>
      <c r="AT1493" s="8"/>
      <c r="AU1493" s="8"/>
      <c r="AV1493" s="8"/>
      <c r="AW1493" s="8"/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/>
      <c r="CA1493" s="8"/>
      <c r="CB1493" s="8"/>
      <c r="CC1493" s="8"/>
      <c r="CD1493" s="8"/>
      <c r="CE1493" s="8"/>
      <c r="CF1493" s="8"/>
      <c r="CG1493" s="8"/>
      <c r="CH1493" s="8"/>
      <c r="CI1493" s="8"/>
      <c r="CJ1493" s="8"/>
      <c r="CK1493" s="8"/>
      <c r="CL1493" s="8"/>
      <c r="CM1493" s="8"/>
      <c r="CN1493" s="8"/>
      <c r="CO1493" s="8"/>
      <c r="CP1493" s="8"/>
      <c r="CQ1493" s="8"/>
      <c r="CR1493" s="8"/>
      <c r="CS1493" s="8"/>
      <c r="CT1493" s="8"/>
      <c r="CU1493" s="8"/>
      <c r="CV1493" s="8"/>
      <c r="CW1493" s="8"/>
      <c r="CX1493" s="8"/>
      <c r="CY1493" s="8"/>
      <c r="CZ1493" s="8"/>
      <c r="DA1493" s="8"/>
      <c r="DB1493" s="8"/>
      <c r="DC1493" s="8"/>
      <c r="DD1493" s="8"/>
      <c r="DE1493" s="8"/>
      <c r="DF1493" s="8"/>
      <c r="DG1493" s="8"/>
      <c r="DH1493" s="8"/>
      <c r="DI1493" s="8"/>
      <c r="DJ1493" s="8"/>
      <c r="DK1493" s="8"/>
      <c r="DL1493" s="8"/>
      <c r="DM1493" s="8"/>
      <c r="DN1493" s="8"/>
      <c r="DO1493" s="8"/>
      <c r="DP1493" s="8"/>
      <c r="DQ1493" s="8"/>
      <c r="DR1493" s="8"/>
      <c r="DS1493" s="8"/>
      <c r="DT1493" s="8"/>
      <c r="DU1493" s="8"/>
      <c r="DV1493" s="8"/>
      <c r="DW1493" s="8"/>
      <c r="DX1493" s="8"/>
      <c r="DY1493" s="8"/>
      <c r="DZ1493" s="8"/>
      <c r="EA1493" s="8"/>
      <c r="EB1493" s="8"/>
      <c r="EC1493" s="8"/>
      <c r="ED1493" s="8"/>
      <c r="EE1493" s="8"/>
      <c r="EF1493" s="8"/>
      <c r="EG1493" s="8"/>
      <c r="EH1493" s="8"/>
      <c r="EI1493" s="8"/>
      <c r="EJ1493" s="8"/>
      <c r="EK1493" s="8"/>
      <c r="EL1493" s="8"/>
      <c r="EM1493" s="8"/>
      <c r="EN1493" s="8"/>
      <c r="EO1493" s="8"/>
      <c r="EP1493" s="8"/>
      <c r="EQ1493" s="8"/>
      <c r="ER1493" s="8"/>
      <c r="ES1493" s="8"/>
      <c r="ET1493" s="8"/>
      <c r="EU1493" s="8"/>
      <c r="EV1493" s="8"/>
      <c r="EW1493" s="8"/>
      <c r="EX1493" s="8"/>
      <c r="EY1493" s="8"/>
      <c r="EZ1493" s="8"/>
      <c r="FA1493" s="8"/>
      <c r="FB1493" s="8"/>
      <c r="FC1493" s="8"/>
      <c r="FD1493" s="8"/>
      <c r="FE1493" s="8"/>
      <c r="FF1493" s="8"/>
      <c r="FG1493" s="8"/>
      <c r="FH1493" s="8"/>
      <c r="FI1493" s="8"/>
      <c r="FJ1493" s="8"/>
      <c r="FK1493" s="8"/>
      <c r="FL1493" s="8"/>
      <c r="FM1493" s="8"/>
      <c r="FN1493" s="8"/>
      <c r="FO1493" s="8"/>
      <c r="FP1493" s="8"/>
      <c r="FQ1493" s="8"/>
      <c r="FR1493" s="8"/>
      <c r="FS1493" s="8"/>
      <c r="FT1493" s="8"/>
      <c r="FU1493" s="8"/>
      <c r="FV1493" s="8"/>
      <c r="FW1493" s="8"/>
      <c r="FX1493" s="8"/>
      <c r="FY1493" s="8"/>
      <c r="FZ1493" s="8"/>
      <c r="GA1493" s="8"/>
      <c r="GB1493" s="8"/>
      <c r="GC1493" s="8"/>
      <c r="GD1493" s="8"/>
      <c r="GE1493" s="8"/>
      <c r="GF1493" s="8"/>
      <c r="GG1493" s="8"/>
      <c r="GH1493" s="8"/>
      <c r="GI1493" s="8"/>
      <c r="GJ1493" s="8"/>
      <c r="GK1493" s="8"/>
      <c r="GL1493" s="8"/>
      <c r="GM1493" s="8"/>
      <c r="GN1493" s="8"/>
      <c r="GO1493" s="8"/>
      <c r="GP1493" s="8"/>
      <c r="GQ1493" s="8"/>
      <c r="GR1493" s="8"/>
      <c r="GS1493" s="8"/>
      <c r="GT1493" s="8"/>
      <c r="GU1493" s="8"/>
      <c r="GV1493" s="8"/>
      <c r="GW1493" s="8"/>
      <c r="GX1493" s="8"/>
      <c r="GY1493" s="8"/>
      <c r="GZ1493" s="8"/>
      <c r="HA1493" s="8"/>
      <c r="HB1493" s="8"/>
      <c r="HC1493" s="8"/>
      <c r="HD1493" s="8"/>
      <c r="HE1493" s="8"/>
      <c r="HF1493" s="8"/>
      <c r="HG1493" s="8"/>
      <c r="HH1493" s="8"/>
      <c r="HI1493" s="8"/>
      <c r="HJ1493" s="8"/>
      <c r="HK1493" s="8"/>
      <c r="HL1493" s="8"/>
      <c r="HM1493" s="8"/>
      <c r="HN1493" s="8"/>
      <c r="HO1493" s="8"/>
      <c r="HP1493" s="8"/>
      <c r="HQ1493" s="8"/>
      <c r="HR1493" s="8"/>
      <c r="HS1493" s="8"/>
      <c r="HT1493" s="8"/>
      <c r="HU1493" s="8"/>
      <c r="HV1493" s="8"/>
      <c r="HW1493" s="8"/>
      <c r="HX1493" s="8"/>
      <c r="HY1493" s="8"/>
      <c r="HZ1493" s="8"/>
      <c r="IA1493" s="8"/>
      <c r="IB1493" s="8"/>
      <c r="IC1493" s="8"/>
      <c r="ID1493" s="8"/>
      <c r="IE1493" s="8"/>
      <c r="IF1493" s="8"/>
    </row>
    <row r="1494" spans="1:240">
      <c r="A1494" s="14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8"/>
      <c r="AP1494" s="8"/>
      <c r="AQ1494" s="8"/>
      <c r="AR1494" s="8"/>
      <c r="AS1494" s="8"/>
      <c r="AT1494" s="8"/>
      <c r="AU1494" s="8"/>
      <c r="AV1494" s="8"/>
      <c r="AW1494" s="8"/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/>
      <c r="BX1494" s="8"/>
      <c r="BY1494" s="8"/>
      <c r="BZ1494" s="8"/>
      <c r="CA1494" s="8"/>
      <c r="CB1494" s="8"/>
      <c r="CC1494" s="8"/>
      <c r="CD1494" s="8"/>
      <c r="CE1494" s="8"/>
      <c r="CF1494" s="8"/>
      <c r="CG1494" s="8"/>
      <c r="CH1494" s="8"/>
      <c r="CI1494" s="8"/>
      <c r="CJ1494" s="8"/>
      <c r="CK1494" s="8"/>
      <c r="CL1494" s="8"/>
      <c r="CM1494" s="8"/>
      <c r="CN1494" s="8"/>
      <c r="CO1494" s="8"/>
      <c r="CP1494" s="8"/>
      <c r="CQ1494" s="8"/>
      <c r="CR1494" s="8"/>
      <c r="CS1494" s="8"/>
      <c r="CT1494" s="8"/>
      <c r="CU1494" s="8"/>
      <c r="CV1494" s="8"/>
      <c r="CW1494" s="8"/>
      <c r="CX1494" s="8"/>
      <c r="CY1494" s="8"/>
      <c r="CZ1494" s="8"/>
      <c r="DA1494" s="8"/>
      <c r="DB1494" s="8"/>
      <c r="DC1494" s="8"/>
      <c r="DD1494" s="8"/>
      <c r="DE1494" s="8"/>
      <c r="DF1494" s="8"/>
      <c r="DG1494" s="8"/>
      <c r="DH1494" s="8"/>
      <c r="DI1494" s="8"/>
      <c r="DJ1494" s="8"/>
      <c r="DK1494" s="8"/>
      <c r="DL1494" s="8"/>
      <c r="DM1494" s="8"/>
      <c r="DN1494" s="8"/>
      <c r="DO1494" s="8"/>
      <c r="DP1494" s="8"/>
      <c r="DQ1494" s="8"/>
      <c r="DR1494" s="8"/>
      <c r="DS1494" s="8"/>
      <c r="DT1494" s="8"/>
      <c r="DU1494" s="8"/>
      <c r="DV1494" s="8"/>
      <c r="DW1494" s="8"/>
      <c r="DX1494" s="8"/>
      <c r="DY1494" s="8"/>
      <c r="DZ1494" s="8"/>
      <c r="EA1494" s="8"/>
      <c r="EB1494" s="8"/>
      <c r="EC1494" s="8"/>
      <c r="ED1494" s="8"/>
      <c r="EE1494" s="8"/>
      <c r="EF1494" s="8"/>
      <c r="EG1494" s="8"/>
      <c r="EH1494" s="8"/>
      <c r="EI1494" s="8"/>
      <c r="EJ1494" s="8"/>
      <c r="EK1494" s="8"/>
      <c r="EL1494" s="8"/>
      <c r="EM1494" s="8"/>
      <c r="EN1494" s="8"/>
      <c r="EO1494" s="8"/>
      <c r="EP1494" s="8"/>
      <c r="EQ1494" s="8"/>
      <c r="ER1494" s="8"/>
      <c r="ES1494" s="8"/>
      <c r="ET1494" s="8"/>
      <c r="EU1494" s="8"/>
      <c r="EV1494" s="8"/>
      <c r="EW1494" s="8"/>
      <c r="EX1494" s="8"/>
      <c r="EY1494" s="8"/>
      <c r="EZ1494" s="8"/>
      <c r="FA1494" s="8"/>
      <c r="FB1494" s="8"/>
      <c r="FC1494" s="8"/>
      <c r="FD1494" s="8"/>
      <c r="FE1494" s="8"/>
      <c r="FF1494" s="8"/>
      <c r="FG1494" s="8"/>
      <c r="FH1494" s="8"/>
      <c r="FI1494" s="8"/>
      <c r="FJ1494" s="8"/>
      <c r="FK1494" s="8"/>
      <c r="FL1494" s="8"/>
      <c r="FM1494" s="8"/>
      <c r="FN1494" s="8"/>
      <c r="FO1494" s="8"/>
      <c r="FP1494" s="8"/>
      <c r="FQ1494" s="8"/>
      <c r="FR1494" s="8"/>
      <c r="FS1494" s="8"/>
      <c r="FT1494" s="8"/>
      <c r="FU1494" s="8"/>
      <c r="FV1494" s="8"/>
      <c r="FW1494" s="8"/>
      <c r="FX1494" s="8"/>
      <c r="FY1494" s="8"/>
      <c r="FZ1494" s="8"/>
      <c r="GA1494" s="8"/>
      <c r="GB1494" s="8"/>
      <c r="GC1494" s="8"/>
      <c r="GD1494" s="8"/>
      <c r="GE1494" s="8"/>
      <c r="GF1494" s="8"/>
      <c r="GG1494" s="8"/>
      <c r="GH1494" s="8"/>
      <c r="GI1494" s="8"/>
      <c r="GJ1494" s="8"/>
      <c r="GK1494" s="8"/>
      <c r="GL1494" s="8"/>
      <c r="GM1494" s="8"/>
      <c r="GN1494" s="8"/>
      <c r="GO1494" s="8"/>
      <c r="GP1494" s="8"/>
      <c r="GQ1494" s="8"/>
      <c r="GR1494" s="8"/>
      <c r="GS1494" s="8"/>
      <c r="GT1494" s="8"/>
      <c r="GU1494" s="8"/>
      <c r="GV1494" s="8"/>
      <c r="GW1494" s="8"/>
      <c r="GX1494" s="8"/>
      <c r="GY1494" s="8"/>
      <c r="GZ1494" s="8"/>
      <c r="HA1494" s="8"/>
      <c r="HB1494" s="8"/>
      <c r="HC1494" s="8"/>
      <c r="HD1494" s="8"/>
      <c r="HE1494" s="8"/>
      <c r="HF1494" s="8"/>
      <c r="HG1494" s="8"/>
      <c r="HH1494" s="8"/>
      <c r="HI1494" s="8"/>
      <c r="HJ1494" s="8"/>
      <c r="HK1494" s="8"/>
      <c r="HL1494" s="8"/>
      <c r="HM1494" s="8"/>
      <c r="HN1494" s="8"/>
      <c r="HO1494" s="8"/>
      <c r="HP1494" s="8"/>
      <c r="HQ1494" s="8"/>
      <c r="HR1494" s="8"/>
      <c r="HS1494" s="8"/>
      <c r="HT1494" s="8"/>
      <c r="HU1494" s="8"/>
      <c r="HV1494" s="8"/>
      <c r="HW1494" s="8"/>
      <c r="HX1494" s="8"/>
      <c r="HY1494" s="8"/>
      <c r="HZ1494" s="8"/>
      <c r="IA1494" s="8"/>
      <c r="IB1494" s="8"/>
      <c r="IC1494" s="8"/>
      <c r="ID1494" s="8"/>
      <c r="IE1494" s="8"/>
      <c r="IF1494" s="8"/>
    </row>
    <row r="1495" spans="1:240">
      <c r="A1495" s="14"/>
      <c r="B1495" s="23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  <c r="AL1495" s="23"/>
      <c r="AM1495" s="23"/>
      <c r="AN1495" s="23"/>
      <c r="AO1495" s="8"/>
      <c r="AP1495" s="8"/>
      <c r="AQ1495" s="8"/>
      <c r="AR1495" s="8"/>
      <c r="AS1495" s="8"/>
      <c r="AT1495" s="8"/>
      <c r="AU1495" s="8"/>
      <c r="AV1495" s="8"/>
      <c r="AW1495" s="8"/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8"/>
      <c r="BV1495" s="8"/>
      <c r="BW1495" s="8"/>
      <c r="BX1495" s="8"/>
      <c r="BY1495" s="8"/>
      <c r="BZ1495" s="8"/>
      <c r="CA1495" s="8"/>
      <c r="CB1495" s="8"/>
      <c r="CC1495" s="8"/>
      <c r="CD1495" s="8"/>
      <c r="CE1495" s="8"/>
      <c r="CF1495" s="8"/>
      <c r="CG1495" s="8"/>
      <c r="CH1495" s="8"/>
      <c r="CI1495" s="8"/>
      <c r="CJ1495" s="8"/>
      <c r="CK1495" s="8"/>
      <c r="CL1495" s="8"/>
      <c r="CM1495" s="8"/>
      <c r="CN1495" s="8"/>
      <c r="CO1495" s="8"/>
      <c r="CP1495" s="8"/>
      <c r="CQ1495" s="8"/>
      <c r="CR1495" s="8"/>
      <c r="CS1495" s="8"/>
      <c r="CT1495" s="8"/>
      <c r="CU1495" s="8"/>
      <c r="CV1495" s="8"/>
      <c r="CW1495" s="8"/>
      <c r="CX1495" s="8"/>
      <c r="CY1495" s="8"/>
      <c r="CZ1495" s="8"/>
      <c r="DA1495" s="8"/>
      <c r="DB1495" s="8"/>
      <c r="DC1495" s="8"/>
      <c r="DD1495" s="8"/>
      <c r="DE1495" s="8"/>
      <c r="DF1495" s="8"/>
      <c r="DG1495" s="8"/>
      <c r="DH1495" s="8"/>
      <c r="DI1495" s="8"/>
      <c r="DJ1495" s="8"/>
      <c r="DK1495" s="8"/>
      <c r="DL1495" s="8"/>
      <c r="DM1495" s="8"/>
      <c r="DN1495" s="8"/>
      <c r="DO1495" s="8"/>
      <c r="DP1495" s="8"/>
      <c r="DQ1495" s="8"/>
      <c r="DR1495" s="8"/>
      <c r="DS1495" s="8"/>
      <c r="DT1495" s="8"/>
      <c r="DU1495" s="8"/>
      <c r="DV1495" s="8"/>
      <c r="DW1495" s="8"/>
      <c r="DX1495" s="8"/>
      <c r="DY1495" s="8"/>
      <c r="DZ1495" s="8"/>
      <c r="EA1495" s="8"/>
      <c r="EB1495" s="8"/>
      <c r="EC1495" s="8"/>
      <c r="ED1495" s="8"/>
      <c r="EE1495" s="8"/>
      <c r="EF1495" s="8"/>
      <c r="EG1495" s="8"/>
      <c r="EH1495" s="8"/>
      <c r="EI1495" s="8"/>
      <c r="EJ1495" s="8"/>
      <c r="EK1495" s="8"/>
      <c r="EL1495" s="8"/>
      <c r="EM1495" s="8"/>
      <c r="EN1495" s="8"/>
      <c r="EO1495" s="8"/>
      <c r="EP1495" s="8"/>
      <c r="EQ1495" s="8"/>
      <c r="ER1495" s="8"/>
      <c r="ES1495" s="8"/>
      <c r="ET1495" s="8"/>
      <c r="EU1495" s="8"/>
      <c r="EV1495" s="8"/>
      <c r="EW1495" s="8"/>
      <c r="EX1495" s="8"/>
      <c r="EY1495" s="8"/>
      <c r="EZ1495" s="8"/>
      <c r="FA1495" s="8"/>
      <c r="FB1495" s="8"/>
      <c r="FC1495" s="8"/>
      <c r="FD1495" s="8"/>
      <c r="FE1495" s="8"/>
      <c r="FF1495" s="8"/>
      <c r="FG1495" s="8"/>
      <c r="FH1495" s="8"/>
      <c r="FI1495" s="8"/>
      <c r="FJ1495" s="8"/>
      <c r="FK1495" s="8"/>
      <c r="FL1495" s="8"/>
      <c r="FM1495" s="8"/>
      <c r="FN1495" s="8"/>
      <c r="FO1495" s="8"/>
      <c r="FP1495" s="8"/>
      <c r="FQ1495" s="8"/>
      <c r="FR1495" s="8"/>
      <c r="FS1495" s="8"/>
      <c r="FT1495" s="8"/>
      <c r="FU1495" s="8"/>
      <c r="FV1495" s="8"/>
      <c r="FW1495" s="8"/>
      <c r="FX1495" s="8"/>
      <c r="FY1495" s="8"/>
      <c r="FZ1495" s="8"/>
      <c r="GA1495" s="8"/>
      <c r="GB1495" s="8"/>
      <c r="GC1495" s="8"/>
      <c r="GD1495" s="8"/>
      <c r="GE1495" s="8"/>
      <c r="GF1495" s="8"/>
      <c r="GG1495" s="8"/>
      <c r="GH1495" s="8"/>
      <c r="GI1495" s="8"/>
      <c r="GJ1495" s="8"/>
      <c r="GK1495" s="8"/>
      <c r="GL1495" s="8"/>
      <c r="GM1495" s="8"/>
      <c r="GN1495" s="8"/>
      <c r="GO1495" s="8"/>
      <c r="GP1495" s="8"/>
      <c r="GQ1495" s="8"/>
      <c r="GR1495" s="8"/>
      <c r="GS1495" s="8"/>
      <c r="GT1495" s="8"/>
      <c r="GU1495" s="8"/>
      <c r="GV1495" s="8"/>
      <c r="GW1495" s="8"/>
      <c r="GX1495" s="8"/>
      <c r="GY1495" s="8"/>
      <c r="GZ1495" s="8"/>
      <c r="HA1495" s="8"/>
      <c r="HB1495" s="8"/>
      <c r="HC1495" s="8"/>
      <c r="HD1495" s="8"/>
      <c r="HE1495" s="8"/>
      <c r="HF1495" s="8"/>
      <c r="HG1495" s="8"/>
      <c r="HH1495" s="8"/>
      <c r="HI1495" s="8"/>
      <c r="HJ1495" s="8"/>
      <c r="HK1495" s="8"/>
      <c r="HL1495" s="8"/>
      <c r="HM1495" s="8"/>
      <c r="HN1495" s="8"/>
      <c r="HO1495" s="8"/>
      <c r="HP1495" s="8"/>
      <c r="HQ1495" s="8"/>
      <c r="HR1495" s="8"/>
      <c r="HS1495" s="8"/>
      <c r="HT1495" s="8"/>
      <c r="HU1495" s="8"/>
      <c r="HV1495" s="8"/>
      <c r="HW1495" s="8"/>
      <c r="HX1495" s="8"/>
      <c r="HY1495" s="8"/>
      <c r="HZ1495" s="8"/>
      <c r="IA1495" s="8"/>
      <c r="IB1495" s="8"/>
      <c r="IC1495" s="8"/>
      <c r="ID1495" s="8"/>
      <c r="IE1495" s="8"/>
      <c r="IF1495" s="8"/>
    </row>
    <row r="1496" spans="1:240">
      <c r="A1496" s="14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8"/>
      <c r="AP1496" s="8"/>
      <c r="AQ1496" s="8"/>
      <c r="AR1496" s="8"/>
      <c r="AS1496" s="8"/>
      <c r="AT1496" s="8"/>
      <c r="AU1496" s="8"/>
      <c r="AV1496" s="8"/>
      <c r="AW1496" s="8"/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8"/>
      <c r="BV1496" s="8"/>
      <c r="BW1496" s="8"/>
      <c r="BX1496" s="8"/>
      <c r="BY1496" s="8"/>
      <c r="BZ1496" s="8"/>
      <c r="CA1496" s="8"/>
      <c r="CB1496" s="8"/>
      <c r="CC1496" s="8"/>
      <c r="CD1496" s="8"/>
      <c r="CE1496" s="8"/>
      <c r="CF1496" s="8"/>
      <c r="CG1496" s="8"/>
      <c r="CH1496" s="8"/>
      <c r="CI1496" s="8"/>
      <c r="CJ1496" s="8"/>
      <c r="CK1496" s="8"/>
      <c r="CL1496" s="8"/>
      <c r="CM1496" s="8"/>
      <c r="CN1496" s="8"/>
      <c r="CO1496" s="8"/>
      <c r="CP1496" s="8"/>
      <c r="CQ1496" s="8"/>
      <c r="CR1496" s="8"/>
      <c r="CS1496" s="8"/>
      <c r="CT1496" s="8"/>
      <c r="CU1496" s="8"/>
      <c r="CV1496" s="8"/>
      <c r="CW1496" s="8"/>
      <c r="CX1496" s="8"/>
      <c r="CY1496" s="8"/>
      <c r="CZ1496" s="8"/>
      <c r="DA1496" s="8"/>
      <c r="DB1496" s="8"/>
      <c r="DC1496" s="8"/>
      <c r="DD1496" s="8"/>
      <c r="DE1496" s="8"/>
      <c r="DF1496" s="8"/>
      <c r="DG1496" s="8"/>
      <c r="DH1496" s="8"/>
      <c r="DI1496" s="8"/>
      <c r="DJ1496" s="8"/>
      <c r="DK1496" s="8"/>
      <c r="DL1496" s="8"/>
      <c r="DM1496" s="8"/>
      <c r="DN1496" s="8"/>
      <c r="DO1496" s="8"/>
      <c r="DP1496" s="8"/>
      <c r="DQ1496" s="8"/>
      <c r="DR1496" s="8"/>
      <c r="DS1496" s="8"/>
      <c r="DT1496" s="8"/>
      <c r="DU1496" s="8"/>
      <c r="DV1496" s="8"/>
      <c r="DW1496" s="8"/>
      <c r="DX1496" s="8"/>
      <c r="DY1496" s="8"/>
      <c r="DZ1496" s="8"/>
      <c r="EA1496" s="8"/>
      <c r="EB1496" s="8"/>
      <c r="EC1496" s="8"/>
      <c r="ED1496" s="8"/>
      <c r="EE1496" s="8"/>
      <c r="EF1496" s="8"/>
      <c r="EG1496" s="8"/>
      <c r="EH1496" s="8"/>
      <c r="EI1496" s="8"/>
      <c r="EJ1496" s="8"/>
      <c r="EK1496" s="8"/>
      <c r="EL1496" s="8"/>
      <c r="EM1496" s="8"/>
      <c r="EN1496" s="8"/>
      <c r="EO1496" s="8"/>
      <c r="EP1496" s="8"/>
      <c r="EQ1496" s="8"/>
      <c r="ER1496" s="8"/>
      <c r="ES1496" s="8"/>
      <c r="ET1496" s="8"/>
      <c r="EU1496" s="8"/>
      <c r="EV1496" s="8"/>
      <c r="EW1496" s="8"/>
      <c r="EX1496" s="8"/>
      <c r="EY1496" s="8"/>
      <c r="EZ1496" s="8"/>
      <c r="FA1496" s="8"/>
      <c r="FB1496" s="8"/>
      <c r="FC1496" s="8"/>
      <c r="FD1496" s="8"/>
      <c r="FE1496" s="8"/>
      <c r="FF1496" s="8"/>
      <c r="FG1496" s="8"/>
      <c r="FH1496" s="8"/>
      <c r="FI1496" s="8"/>
      <c r="FJ1496" s="8"/>
      <c r="FK1496" s="8"/>
      <c r="FL1496" s="8"/>
      <c r="FM1496" s="8"/>
      <c r="FN1496" s="8"/>
      <c r="FO1496" s="8"/>
      <c r="FP1496" s="8"/>
      <c r="FQ1496" s="8"/>
      <c r="FR1496" s="8"/>
      <c r="FS1496" s="8"/>
      <c r="FT1496" s="8"/>
      <c r="FU1496" s="8"/>
      <c r="FV1496" s="8"/>
      <c r="FW1496" s="8"/>
      <c r="FX1496" s="8"/>
      <c r="FY1496" s="8"/>
      <c r="FZ1496" s="8"/>
      <c r="GA1496" s="8"/>
      <c r="GB1496" s="8"/>
      <c r="GC1496" s="8"/>
      <c r="GD1496" s="8"/>
      <c r="GE1496" s="8"/>
      <c r="GF1496" s="8"/>
      <c r="GG1496" s="8"/>
      <c r="GH1496" s="8"/>
      <c r="GI1496" s="8"/>
      <c r="GJ1496" s="8"/>
      <c r="GK1496" s="8"/>
      <c r="GL1496" s="8"/>
      <c r="GM1496" s="8"/>
      <c r="GN1496" s="8"/>
      <c r="GO1496" s="8"/>
      <c r="GP1496" s="8"/>
      <c r="GQ1496" s="8"/>
      <c r="GR1496" s="8"/>
      <c r="GS1496" s="8"/>
      <c r="GT1496" s="8"/>
      <c r="GU1496" s="8"/>
      <c r="GV1496" s="8"/>
      <c r="GW1496" s="8"/>
      <c r="GX1496" s="8"/>
      <c r="GY1496" s="8"/>
      <c r="GZ1496" s="8"/>
      <c r="HA1496" s="8"/>
      <c r="HB1496" s="8"/>
      <c r="HC1496" s="8"/>
      <c r="HD1496" s="8"/>
      <c r="HE1496" s="8"/>
      <c r="HF1496" s="8"/>
      <c r="HG1496" s="8"/>
      <c r="HH1496" s="8"/>
      <c r="HI1496" s="8"/>
      <c r="HJ1496" s="8"/>
      <c r="HK1496" s="8"/>
      <c r="HL1496" s="8"/>
      <c r="HM1496" s="8"/>
      <c r="HN1496" s="8"/>
      <c r="HO1496" s="8"/>
      <c r="HP1496" s="8"/>
      <c r="HQ1496" s="8"/>
      <c r="HR1496" s="8"/>
      <c r="HS1496" s="8"/>
      <c r="HT1496" s="8"/>
      <c r="HU1496" s="8"/>
      <c r="HV1496" s="8"/>
      <c r="HW1496" s="8"/>
      <c r="HX1496" s="8"/>
      <c r="HY1496" s="8"/>
      <c r="HZ1496" s="8"/>
      <c r="IA1496" s="8"/>
      <c r="IB1496" s="8"/>
      <c r="IC1496" s="8"/>
      <c r="ID1496" s="8"/>
      <c r="IE1496" s="8"/>
      <c r="IF1496" s="8"/>
    </row>
    <row r="1497" spans="1:240">
      <c r="A1497" s="14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8"/>
      <c r="AP1497" s="8"/>
      <c r="AQ1497" s="8"/>
      <c r="AR1497" s="8"/>
      <c r="AS1497" s="8"/>
      <c r="AT1497" s="8"/>
      <c r="AU1497" s="8"/>
      <c r="AV1497" s="8"/>
      <c r="AW1497" s="8"/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8"/>
      <c r="BV1497" s="8"/>
      <c r="BW1497" s="8"/>
      <c r="BX1497" s="8"/>
      <c r="BY1497" s="8"/>
      <c r="BZ1497" s="8"/>
      <c r="CA1497" s="8"/>
      <c r="CB1497" s="8"/>
      <c r="CC1497" s="8"/>
      <c r="CD1497" s="8"/>
      <c r="CE1497" s="8"/>
      <c r="CF1497" s="8"/>
      <c r="CG1497" s="8"/>
      <c r="CH1497" s="8"/>
      <c r="CI1497" s="8"/>
      <c r="CJ1497" s="8"/>
      <c r="CK1497" s="8"/>
      <c r="CL1497" s="8"/>
      <c r="CM1497" s="8"/>
      <c r="CN1497" s="8"/>
      <c r="CO1497" s="8"/>
      <c r="CP1497" s="8"/>
      <c r="CQ1497" s="8"/>
      <c r="CR1497" s="8"/>
      <c r="CS1497" s="8"/>
      <c r="CT1497" s="8"/>
      <c r="CU1497" s="8"/>
      <c r="CV1497" s="8"/>
      <c r="CW1497" s="8"/>
      <c r="CX1497" s="8"/>
      <c r="CY1497" s="8"/>
      <c r="CZ1497" s="8"/>
      <c r="DA1497" s="8"/>
      <c r="DB1497" s="8"/>
      <c r="DC1497" s="8"/>
      <c r="DD1497" s="8"/>
      <c r="DE1497" s="8"/>
      <c r="DF1497" s="8"/>
      <c r="DG1497" s="8"/>
      <c r="DH1497" s="8"/>
      <c r="DI1497" s="8"/>
      <c r="DJ1497" s="8"/>
      <c r="DK1497" s="8"/>
      <c r="DL1497" s="8"/>
      <c r="DM1497" s="8"/>
      <c r="DN1497" s="8"/>
      <c r="DO1497" s="8"/>
      <c r="DP1497" s="8"/>
      <c r="DQ1497" s="8"/>
      <c r="DR1497" s="8"/>
      <c r="DS1497" s="8"/>
      <c r="DT1497" s="8"/>
      <c r="DU1497" s="8"/>
      <c r="DV1497" s="8"/>
      <c r="DW1497" s="8"/>
      <c r="DX1497" s="8"/>
      <c r="DY1497" s="8"/>
      <c r="DZ1497" s="8"/>
      <c r="EA1497" s="8"/>
      <c r="EB1497" s="8"/>
      <c r="EC1497" s="8"/>
      <c r="ED1497" s="8"/>
      <c r="EE1497" s="8"/>
      <c r="EF1497" s="8"/>
      <c r="EG1497" s="8"/>
      <c r="EH1497" s="8"/>
      <c r="EI1497" s="8"/>
      <c r="EJ1497" s="8"/>
      <c r="EK1497" s="8"/>
      <c r="EL1497" s="8"/>
      <c r="EM1497" s="8"/>
      <c r="EN1497" s="8"/>
      <c r="EO1497" s="8"/>
      <c r="EP1497" s="8"/>
      <c r="EQ1497" s="8"/>
      <c r="ER1497" s="8"/>
      <c r="ES1497" s="8"/>
      <c r="ET1497" s="8"/>
      <c r="EU1497" s="8"/>
      <c r="EV1497" s="8"/>
      <c r="EW1497" s="8"/>
      <c r="EX1497" s="8"/>
      <c r="EY1497" s="8"/>
      <c r="EZ1497" s="8"/>
      <c r="FA1497" s="8"/>
      <c r="FB1497" s="8"/>
      <c r="FC1497" s="8"/>
      <c r="FD1497" s="8"/>
      <c r="FE1497" s="8"/>
      <c r="FF1497" s="8"/>
      <c r="FG1497" s="8"/>
      <c r="FH1497" s="8"/>
      <c r="FI1497" s="8"/>
      <c r="FJ1497" s="8"/>
      <c r="FK1497" s="8"/>
      <c r="FL1497" s="8"/>
      <c r="FM1497" s="8"/>
      <c r="FN1497" s="8"/>
      <c r="FO1497" s="8"/>
      <c r="FP1497" s="8"/>
      <c r="FQ1497" s="8"/>
      <c r="FR1497" s="8"/>
      <c r="FS1497" s="8"/>
      <c r="FT1497" s="8"/>
      <c r="FU1497" s="8"/>
      <c r="FV1497" s="8"/>
      <c r="FW1497" s="8"/>
      <c r="FX1497" s="8"/>
      <c r="FY1497" s="8"/>
      <c r="FZ1497" s="8"/>
      <c r="GA1497" s="8"/>
      <c r="GB1497" s="8"/>
      <c r="GC1497" s="8"/>
      <c r="GD1497" s="8"/>
      <c r="GE1497" s="8"/>
      <c r="GF1497" s="8"/>
      <c r="GG1497" s="8"/>
      <c r="GH1497" s="8"/>
      <c r="GI1497" s="8"/>
      <c r="GJ1497" s="8"/>
      <c r="GK1497" s="8"/>
      <c r="GL1497" s="8"/>
      <c r="GM1497" s="8"/>
      <c r="GN1497" s="8"/>
      <c r="GO1497" s="8"/>
      <c r="GP1497" s="8"/>
      <c r="GQ1497" s="8"/>
      <c r="GR1497" s="8"/>
      <c r="GS1497" s="8"/>
      <c r="GT1497" s="8"/>
      <c r="GU1497" s="8"/>
      <c r="GV1497" s="8"/>
      <c r="GW1497" s="8"/>
      <c r="GX1497" s="8"/>
      <c r="GY1497" s="8"/>
      <c r="GZ1497" s="8"/>
      <c r="HA1497" s="8"/>
      <c r="HB1497" s="8"/>
      <c r="HC1497" s="8"/>
      <c r="HD1497" s="8"/>
      <c r="HE1497" s="8"/>
      <c r="HF1497" s="8"/>
      <c r="HG1497" s="8"/>
      <c r="HH1497" s="8"/>
      <c r="HI1497" s="8"/>
      <c r="HJ1497" s="8"/>
      <c r="HK1497" s="8"/>
      <c r="HL1497" s="8"/>
      <c r="HM1497" s="8"/>
      <c r="HN1497" s="8"/>
      <c r="HO1497" s="8"/>
      <c r="HP1497" s="8"/>
      <c r="HQ1497" s="8"/>
      <c r="HR1497" s="8"/>
      <c r="HS1497" s="8"/>
      <c r="HT1497" s="8"/>
      <c r="HU1497" s="8"/>
      <c r="HV1497" s="8"/>
      <c r="HW1497" s="8"/>
      <c r="HX1497" s="8"/>
      <c r="HY1497" s="8"/>
      <c r="HZ1497" s="8"/>
      <c r="IA1497" s="8"/>
      <c r="IB1497" s="8"/>
      <c r="IC1497" s="8"/>
      <c r="ID1497" s="8"/>
      <c r="IE1497" s="8"/>
      <c r="IF1497" s="8"/>
    </row>
    <row r="1498" spans="1:240">
      <c r="A1498" s="14"/>
      <c r="B1498" s="23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  <c r="AK1498" s="23"/>
      <c r="AL1498" s="23"/>
      <c r="AM1498" s="23"/>
      <c r="AN1498" s="23"/>
      <c r="AO1498" s="8"/>
      <c r="AP1498" s="8"/>
      <c r="AQ1498" s="8"/>
      <c r="AR1498" s="8"/>
      <c r="AS1498" s="8"/>
      <c r="AT1498" s="8"/>
      <c r="AU1498" s="8"/>
      <c r="AV1498" s="8"/>
      <c r="AW1498" s="8"/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M1498" s="8"/>
      <c r="BN1498" s="8"/>
      <c r="BO1498" s="8"/>
      <c r="BP1498" s="8"/>
      <c r="BQ1498" s="8"/>
      <c r="BR1498" s="8"/>
      <c r="BS1498" s="8"/>
      <c r="BT1498" s="8"/>
      <c r="BU1498" s="8"/>
      <c r="BV1498" s="8"/>
      <c r="BW1498" s="8"/>
      <c r="BX1498" s="8"/>
      <c r="BY1498" s="8"/>
      <c r="BZ1498" s="8"/>
      <c r="CA1498" s="8"/>
      <c r="CB1498" s="8"/>
      <c r="CC1498" s="8"/>
      <c r="CD1498" s="8"/>
      <c r="CE1498" s="8"/>
      <c r="CF1498" s="8"/>
      <c r="CG1498" s="8"/>
      <c r="CH1498" s="8"/>
      <c r="CI1498" s="8"/>
      <c r="CJ1498" s="8"/>
      <c r="CK1498" s="8"/>
      <c r="CL1498" s="8"/>
      <c r="CM1498" s="8"/>
      <c r="CN1498" s="8"/>
      <c r="CO1498" s="8"/>
      <c r="CP1498" s="8"/>
      <c r="CQ1498" s="8"/>
      <c r="CR1498" s="8"/>
      <c r="CS1498" s="8"/>
      <c r="CT1498" s="8"/>
      <c r="CU1498" s="8"/>
      <c r="CV1498" s="8"/>
      <c r="CW1498" s="8"/>
      <c r="CX1498" s="8"/>
      <c r="CY1498" s="8"/>
      <c r="CZ1498" s="8"/>
      <c r="DA1498" s="8"/>
      <c r="DB1498" s="8"/>
      <c r="DC1498" s="8"/>
      <c r="DD1498" s="8"/>
      <c r="DE1498" s="8"/>
      <c r="DF1498" s="8"/>
      <c r="DG1498" s="8"/>
      <c r="DH1498" s="8"/>
      <c r="DI1498" s="8"/>
      <c r="DJ1498" s="8"/>
      <c r="DK1498" s="8"/>
      <c r="DL1498" s="8"/>
      <c r="DM1498" s="8"/>
      <c r="DN1498" s="8"/>
      <c r="DO1498" s="8"/>
      <c r="DP1498" s="8"/>
      <c r="DQ1498" s="8"/>
      <c r="DR1498" s="8"/>
      <c r="DS1498" s="8"/>
      <c r="DT1498" s="8"/>
      <c r="DU1498" s="8"/>
      <c r="DV1498" s="8"/>
      <c r="DW1498" s="8"/>
      <c r="DX1498" s="8"/>
      <c r="DY1498" s="8"/>
      <c r="DZ1498" s="8"/>
      <c r="EA1498" s="8"/>
      <c r="EB1498" s="8"/>
      <c r="EC1498" s="8"/>
      <c r="ED1498" s="8"/>
      <c r="EE1498" s="8"/>
      <c r="EF1498" s="8"/>
      <c r="EG1498" s="8"/>
      <c r="EH1498" s="8"/>
      <c r="EI1498" s="8"/>
      <c r="EJ1498" s="8"/>
      <c r="EK1498" s="8"/>
      <c r="EL1498" s="8"/>
      <c r="EM1498" s="8"/>
      <c r="EN1498" s="8"/>
      <c r="EO1498" s="8"/>
      <c r="EP1498" s="8"/>
      <c r="EQ1498" s="8"/>
      <c r="ER1498" s="8"/>
      <c r="ES1498" s="8"/>
      <c r="ET1498" s="8"/>
      <c r="EU1498" s="8"/>
      <c r="EV1498" s="8"/>
      <c r="EW1498" s="8"/>
      <c r="EX1498" s="8"/>
      <c r="EY1498" s="8"/>
      <c r="EZ1498" s="8"/>
      <c r="FA1498" s="8"/>
      <c r="FB1498" s="8"/>
      <c r="FC1498" s="8"/>
      <c r="FD1498" s="8"/>
      <c r="FE1498" s="8"/>
      <c r="FF1498" s="8"/>
      <c r="FG1498" s="8"/>
      <c r="FH1498" s="8"/>
      <c r="FI1498" s="8"/>
      <c r="FJ1498" s="8"/>
      <c r="FK1498" s="8"/>
      <c r="FL1498" s="8"/>
      <c r="FM1498" s="8"/>
      <c r="FN1498" s="8"/>
      <c r="FO1498" s="8"/>
      <c r="FP1498" s="8"/>
      <c r="FQ1498" s="8"/>
      <c r="FR1498" s="8"/>
      <c r="FS1498" s="8"/>
      <c r="FT1498" s="8"/>
      <c r="FU1498" s="8"/>
      <c r="FV1498" s="8"/>
      <c r="FW1498" s="8"/>
      <c r="FX1498" s="8"/>
      <c r="FY1498" s="8"/>
      <c r="FZ1498" s="8"/>
      <c r="GA1498" s="8"/>
      <c r="GB1498" s="8"/>
      <c r="GC1498" s="8"/>
      <c r="GD1498" s="8"/>
      <c r="GE1498" s="8"/>
      <c r="GF1498" s="8"/>
      <c r="GG1498" s="8"/>
      <c r="GH1498" s="8"/>
      <c r="GI1498" s="8"/>
      <c r="GJ1498" s="8"/>
      <c r="GK1498" s="8"/>
      <c r="GL1498" s="8"/>
      <c r="GM1498" s="8"/>
      <c r="GN1498" s="8"/>
      <c r="GO1498" s="8"/>
      <c r="GP1498" s="8"/>
      <c r="GQ1498" s="8"/>
      <c r="GR1498" s="8"/>
      <c r="GS1498" s="8"/>
      <c r="GT1498" s="8"/>
      <c r="GU1498" s="8"/>
      <c r="GV1498" s="8"/>
      <c r="GW1498" s="8"/>
      <c r="GX1498" s="8"/>
      <c r="GY1498" s="8"/>
      <c r="GZ1498" s="8"/>
      <c r="HA1498" s="8"/>
      <c r="HB1498" s="8"/>
      <c r="HC1498" s="8"/>
      <c r="HD1498" s="8"/>
      <c r="HE1498" s="8"/>
      <c r="HF1498" s="8"/>
      <c r="HG1498" s="8"/>
      <c r="HH1498" s="8"/>
      <c r="HI1498" s="8"/>
      <c r="HJ1498" s="8"/>
      <c r="HK1498" s="8"/>
      <c r="HL1498" s="8"/>
      <c r="HM1498" s="8"/>
      <c r="HN1498" s="8"/>
      <c r="HO1498" s="8"/>
      <c r="HP1498" s="8"/>
      <c r="HQ1498" s="8"/>
      <c r="HR1498" s="8"/>
      <c r="HS1498" s="8"/>
      <c r="HT1498" s="8"/>
      <c r="HU1498" s="8"/>
      <c r="HV1498" s="8"/>
      <c r="HW1498" s="8"/>
      <c r="HX1498" s="8"/>
      <c r="HY1498" s="8"/>
      <c r="HZ1498" s="8"/>
      <c r="IA1498" s="8"/>
      <c r="IB1498" s="8"/>
      <c r="IC1498" s="8"/>
      <c r="ID1498" s="8"/>
      <c r="IE1498" s="8"/>
      <c r="IF1498" s="8"/>
    </row>
    <row r="1499" spans="1:240">
      <c r="A1499" s="14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  <c r="AK1499" s="23"/>
      <c r="AL1499" s="23"/>
      <c r="AM1499" s="23"/>
      <c r="AN1499" s="23"/>
      <c r="AO1499" s="8"/>
      <c r="AP1499" s="8"/>
      <c r="AQ1499" s="8"/>
      <c r="AR1499" s="8"/>
      <c r="AS1499" s="8"/>
      <c r="AT1499" s="8"/>
      <c r="AU1499" s="8"/>
      <c r="AV1499" s="8"/>
      <c r="AW1499" s="8"/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/>
      <c r="CA1499" s="8"/>
      <c r="CB1499" s="8"/>
      <c r="CC1499" s="8"/>
      <c r="CD1499" s="8"/>
      <c r="CE1499" s="8"/>
      <c r="CF1499" s="8"/>
      <c r="CG1499" s="8"/>
      <c r="CH1499" s="8"/>
      <c r="CI1499" s="8"/>
      <c r="CJ1499" s="8"/>
      <c r="CK1499" s="8"/>
      <c r="CL1499" s="8"/>
      <c r="CM1499" s="8"/>
      <c r="CN1499" s="8"/>
      <c r="CO1499" s="8"/>
      <c r="CP1499" s="8"/>
      <c r="CQ1499" s="8"/>
      <c r="CR1499" s="8"/>
      <c r="CS1499" s="8"/>
      <c r="CT1499" s="8"/>
      <c r="CU1499" s="8"/>
      <c r="CV1499" s="8"/>
      <c r="CW1499" s="8"/>
      <c r="CX1499" s="8"/>
      <c r="CY1499" s="8"/>
      <c r="CZ1499" s="8"/>
      <c r="DA1499" s="8"/>
      <c r="DB1499" s="8"/>
      <c r="DC1499" s="8"/>
      <c r="DD1499" s="8"/>
      <c r="DE1499" s="8"/>
      <c r="DF1499" s="8"/>
      <c r="DG1499" s="8"/>
      <c r="DH1499" s="8"/>
      <c r="DI1499" s="8"/>
      <c r="DJ1499" s="8"/>
      <c r="DK1499" s="8"/>
      <c r="DL1499" s="8"/>
      <c r="DM1499" s="8"/>
      <c r="DN1499" s="8"/>
      <c r="DO1499" s="8"/>
      <c r="DP1499" s="8"/>
      <c r="DQ1499" s="8"/>
      <c r="DR1499" s="8"/>
      <c r="DS1499" s="8"/>
      <c r="DT1499" s="8"/>
      <c r="DU1499" s="8"/>
      <c r="DV1499" s="8"/>
      <c r="DW1499" s="8"/>
      <c r="DX1499" s="8"/>
      <c r="DY1499" s="8"/>
      <c r="DZ1499" s="8"/>
      <c r="EA1499" s="8"/>
      <c r="EB1499" s="8"/>
      <c r="EC1499" s="8"/>
      <c r="ED1499" s="8"/>
      <c r="EE1499" s="8"/>
      <c r="EF1499" s="8"/>
      <c r="EG1499" s="8"/>
      <c r="EH1499" s="8"/>
      <c r="EI1499" s="8"/>
      <c r="EJ1499" s="8"/>
      <c r="EK1499" s="8"/>
      <c r="EL1499" s="8"/>
      <c r="EM1499" s="8"/>
      <c r="EN1499" s="8"/>
      <c r="EO1499" s="8"/>
      <c r="EP1499" s="8"/>
      <c r="EQ1499" s="8"/>
      <c r="ER1499" s="8"/>
      <c r="ES1499" s="8"/>
      <c r="ET1499" s="8"/>
      <c r="EU1499" s="8"/>
      <c r="EV1499" s="8"/>
      <c r="EW1499" s="8"/>
      <c r="EX1499" s="8"/>
      <c r="EY1499" s="8"/>
      <c r="EZ1499" s="8"/>
      <c r="FA1499" s="8"/>
      <c r="FB1499" s="8"/>
      <c r="FC1499" s="8"/>
      <c r="FD1499" s="8"/>
      <c r="FE1499" s="8"/>
      <c r="FF1499" s="8"/>
      <c r="FG1499" s="8"/>
      <c r="FH1499" s="8"/>
      <c r="FI1499" s="8"/>
      <c r="FJ1499" s="8"/>
      <c r="FK1499" s="8"/>
      <c r="FL1499" s="8"/>
      <c r="FM1499" s="8"/>
      <c r="FN1499" s="8"/>
      <c r="FO1499" s="8"/>
      <c r="FP1499" s="8"/>
      <c r="FQ1499" s="8"/>
      <c r="FR1499" s="8"/>
      <c r="FS1499" s="8"/>
      <c r="FT1499" s="8"/>
      <c r="FU1499" s="8"/>
      <c r="FV1499" s="8"/>
      <c r="FW1499" s="8"/>
      <c r="FX1499" s="8"/>
      <c r="FY1499" s="8"/>
      <c r="FZ1499" s="8"/>
      <c r="GA1499" s="8"/>
      <c r="GB1499" s="8"/>
      <c r="GC1499" s="8"/>
      <c r="GD1499" s="8"/>
      <c r="GE1499" s="8"/>
      <c r="GF1499" s="8"/>
      <c r="GG1499" s="8"/>
      <c r="GH1499" s="8"/>
      <c r="GI1499" s="8"/>
      <c r="GJ1499" s="8"/>
      <c r="GK1499" s="8"/>
      <c r="GL1499" s="8"/>
      <c r="GM1499" s="8"/>
      <c r="GN1499" s="8"/>
      <c r="GO1499" s="8"/>
      <c r="GP1499" s="8"/>
      <c r="GQ1499" s="8"/>
      <c r="GR1499" s="8"/>
      <c r="GS1499" s="8"/>
      <c r="GT1499" s="8"/>
      <c r="GU1499" s="8"/>
      <c r="GV1499" s="8"/>
      <c r="GW1499" s="8"/>
      <c r="GX1499" s="8"/>
      <c r="GY1499" s="8"/>
      <c r="GZ1499" s="8"/>
      <c r="HA1499" s="8"/>
      <c r="HB1499" s="8"/>
      <c r="HC1499" s="8"/>
      <c r="HD1499" s="8"/>
      <c r="HE1499" s="8"/>
      <c r="HF1499" s="8"/>
      <c r="HG1499" s="8"/>
      <c r="HH1499" s="8"/>
      <c r="HI1499" s="8"/>
      <c r="HJ1499" s="8"/>
      <c r="HK1499" s="8"/>
      <c r="HL1499" s="8"/>
      <c r="HM1499" s="8"/>
      <c r="HN1499" s="8"/>
      <c r="HO1499" s="8"/>
      <c r="HP1499" s="8"/>
      <c r="HQ1499" s="8"/>
      <c r="HR1499" s="8"/>
      <c r="HS1499" s="8"/>
      <c r="HT1499" s="8"/>
      <c r="HU1499" s="8"/>
      <c r="HV1499" s="8"/>
      <c r="HW1499" s="8"/>
      <c r="HX1499" s="8"/>
      <c r="HY1499" s="8"/>
      <c r="HZ1499" s="8"/>
      <c r="IA1499" s="8"/>
      <c r="IB1499" s="8"/>
      <c r="IC1499" s="8"/>
      <c r="ID1499" s="8"/>
      <c r="IE1499" s="8"/>
      <c r="IF1499" s="8"/>
    </row>
    <row r="1500" spans="1:240">
      <c r="A1500" s="14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8"/>
      <c r="AP1500" s="8"/>
      <c r="AQ1500" s="8"/>
      <c r="AR1500" s="8"/>
      <c r="AS1500" s="8"/>
      <c r="AT1500" s="8"/>
      <c r="AU1500" s="8"/>
      <c r="AV1500" s="8"/>
      <c r="AW1500" s="8"/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8"/>
      <c r="BV1500" s="8"/>
      <c r="BW1500" s="8"/>
      <c r="BX1500" s="8"/>
      <c r="BY1500" s="8"/>
      <c r="BZ1500" s="8"/>
      <c r="CA1500" s="8"/>
      <c r="CB1500" s="8"/>
      <c r="CC1500" s="8"/>
      <c r="CD1500" s="8"/>
      <c r="CE1500" s="8"/>
      <c r="CF1500" s="8"/>
      <c r="CG1500" s="8"/>
      <c r="CH1500" s="8"/>
      <c r="CI1500" s="8"/>
      <c r="CJ1500" s="8"/>
      <c r="CK1500" s="8"/>
      <c r="CL1500" s="8"/>
      <c r="CM1500" s="8"/>
      <c r="CN1500" s="8"/>
      <c r="CO1500" s="8"/>
      <c r="CP1500" s="8"/>
      <c r="CQ1500" s="8"/>
      <c r="CR1500" s="8"/>
      <c r="CS1500" s="8"/>
      <c r="CT1500" s="8"/>
      <c r="CU1500" s="8"/>
      <c r="CV1500" s="8"/>
      <c r="CW1500" s="8"/>
      <c r="CX1500" s="8"/>
      <c r="CY1500" s="8"/>
      <c r="CZ1500" s="8"/>
      <c r="DA1500" s="8"/>
      <c r="DB1500" s="8"/>
      <c r="DC1500" s="8"/>
      <c r="DD1500" s="8"/>
      <c r="DE1500" s="8"/>
      <c r="DF1500" s="8"/>
      <c r="DG1500" s="8"/>
      <c r="DH1500" s="8"/>
      <c r="DI1500" s="8"/>
      <c r="DJ1500" s="8"/>
      <c r="DK1500" s="8"/>
      <c r="DL1500" s="8"/>
      <c r="DM1500" s="8"/>
      <c r="DN1500" s="8"/>
      <c r="DO1500" s="8"/>
      <c r="DP1500" s="8"/>
      <c r="DQ1500" s="8"/>
      <c r="DR1500" s="8"/>
      <c r="DS1500" s="8"/>
      <c r="DT1500" s="8"/>
      <c r="DU1500" s="8"/>
      <c r="DV1500" s="8"/>
      <c r="DW1500" s="8"/>
      <c r="DX1500" s="8"/>
      <c r="DY1500" s="8"/>
      <c r="DZ1500" s="8"/>
      <c r="EA1500" s="8"/>
      <c r="EB1500" s="8"/>
      <c r="EC1500" s="8"/>
      <c r="ED1500" s="8"/>
      <c r="EE1500" s="8"/>
      <c r="EF1500" s="8"/>
      <c r="EG1500" s="8"/>
      <c r="EH1500" s="8"/>
      <c r="EI1500" s="8"/>
      <c r="EJ1500" s="8"/>
      <c r="EK1500" s="8"/>
      <c r="EL1500" s="8"/>
      <c r="EM1500" s="8"/>
      <c r="EN1500" s="8"/>
      <c r="EO1500" s="8"/>
      <c r="EP1500" s="8"/>
      <c r="EQ1500" s="8"/>
      <c r="ER1500" s="8"/>
      <c r="ES1500" s="8"/>
      <c r="ET1500" s="8"/>
      <c r="EU1500" s="8"/>
      <c r="EV1500" s="8"/>
      <c r="EW1500" s="8"/>
      <c r="EX1500" s="8"/>
      <c r="EY1500" s="8"/>
      <c r="EZ1500" s="8"/>
      <c r="FA1500" s="8"/>
      <c r="FB1500" s="8"/>
      <c r="FC1500" s="8"/>
      <c r="FD1500" s="8"/>
      <c r="FE1500" s="8"/>
      <c r="FF1500" s="8"/>
      <c r="FG1500" s="8"/>
      <c r="FH1500" s="8"/>
      <c r="FI1500" s="8"/>
      <c r="FJ1500" s="8"/>
      <c r="FK1500" s="8"/>
      <c r="FL1500" s="8"/>
      <c r="FM1500" s="8"/>
      <c r="FN1500" s="8"/>
      <c r="FO1500" s="8"/>
      <c r="FP1500" s="8"/>
      <c r="FQ1500" s="8"/>
      <c r="FR1500" s="8"/>
      <c r="FS1500" s="8"/>
      <c r="FT1500" s="8"/>
      <c r="FU1500" s="8"/>
      <c r="FV1500" s="8"/>
      <c r="FW1500" s="8"/>
      <c r="FX1500" s="8"/>
      <c r="FY1500" s="8"/>
      <c r="FZ1500" s="8"/>
      <c r="GA1500" s="8"/>
      <c r="GB1500" s="8"/>
      <c r="GC1500" s="8"/>
      <c r="GD1500" s="8"/>
      <c r="GE1500" s="8"/>
      <c r="GF1500" s="8"/>
      <c r="GG1500" s="8"/>
      <c r="GH1500" s="8"/>
      <c r="GI1500" s="8"/>
      <c r="GJ1500" s="8"/>
      <c r="GK1500" s="8"/>
      <c r="GL1500" s="8"/>
      <c r="GM1500" s="8"/>
      <c r="GN1500" s="8"/>
      <c r="GO1500" s="8"/>
      <c r="GP1500" s="8"/>
      <c r="GQ1500" s="8"/>
      <c r="GR1500" s="8"/>
      <c r="GS1500" s="8"/>
      <c r="GT1500" s="8"/>
      <c r="GU1500" s="8"/>
      <c r="GV1500" s="8"/>
      <c r="GW1500" s="8"/>
      <c r="GX1500" s="8"/>
      <c r="GY1500" s="8"/>
      <c r="GZ1500" s="8"/>
      <c r="HA1500" s="8"/>
      <c r="HB1500" s="8"/>
      <c r="HC1500" s="8"/>
      <c r="HD1500" s="8"/>
      <c r="HE1500" s="8"/>
      <c r="HF1500" s="8"/>
      <c r="HG1500" s="8"/>
      <c r="HH1500" s="8"/>
      <c r="HI1500" s="8"/>
      <c r="HJ1500" s="8"/>
      <c r="HK1500" s="8"/>
      <c r="HL1500" s="8"/>
      <c r="HM1500" s="8"/>
      <c r="HN1500" s="8"/>
      <c r="HO1500" s="8"/>
      <c r="HP1500" s="8"/>
      <c r="HQ1500" s="8"/>
      <c r="HR1500" s="8"/>
      <c r="HS1500" s="8"/>
      <c r="HT1500" s="8"/>
      <c r="HU1500" s="8"/>
      <c r="HV1500" s="8"/>
      <c r="HW1500" s="8"/>
      <c r="HX1500" s="8"/>
      <c r="HY1500" s="8"/>
      <c r="HZ1500" s="8"/>
      <c r="IA1500" s="8"/>
      <c r="IB1500" s="8"/>
      <c r="IC1500" s="8"/>
      <c r="ID1500" s="8"/>
      <c r="IE1500" s="8"/>
      <c r="IF1500" s="8"/>
    </row>
    <row r="1501" spans="1:240">
      <c r="A1501" s="14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8"/>
      <c r="AP1501" s="8"/>
      <c r="AQ1501" s="8"/>
      <c r="AR1501" s="8"/>
      <c r="AS1501" s="8"/>
      <c r="AT1501" s="8"/>
      <c r="AU1501" s="8"/>
      <c r="AV1501" s="8"/>
      <c r="AW1501" s="8"/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/>
      <c r="CA1501" s="8"/>
      <c r="CB1501" s="8"/>
      <c r="CC1501" s="8"/>
      <c r="CD1501" s="8"/>
      <c r="CE1501" s="8"/>
      <c r="CF1501" s="8"/>
      <c r="CG1501" s="8"/>
      <c r="CH1501" s="8"/>
      <c r="CI1501" s="8"/>
      <c r="CJ1501" s="8"/>
      <c r="CK1501" s="8"/>
      <c r="CL1501" s="8"/>
      <c r="CM1501" s="8"/>
      <c r="CN1501" s="8"/>
      <c r="CO1501" s="8"/>
      <c r="CP1501" s="8"/>
      <c r="CQ1501" s="8"/>
      <c r="CR1501" s="8"/>
      <c r="CS1501" s="8"/>
      <c r="CT1501" s="8"/>
      <c r="CU1501" s="8"/>
      <c r="CV1501" s="8"/>
      <c r="CW1501" s="8"/>
      <c r="CX1501" s="8"/>
      <c r="CY1501" s="8"/>
      <c r="CZ1501" s="8"/>
      <c r="DA1501" s="8"/>
      <c r="DB1501" s="8"/>
      <c r="DC1501" s="8"/>
      <c r="DD1501" s="8"/>
      <c r="DE1501" s="8"/>
      <c r="DF1501" s="8"/>
      <c r="DG1501" s="8"/>
      <c r="DH1501" s="8"/>
      <c r="DI1501" s="8"/>
      <c r="DJ1501" s="8"/>
      <c r="DK1501" s="8"/>
      <c r="DL1501" s="8"/>
      <c r="DM1501" s="8"/>
      <c r="DN1501" s="8"/>
      <c r="DO1501" s="8"/>
      <c r="DP1501" s="8"/>
      <c r="DQ1501" s="8"/>
      <c r="DR1501" s="8"/>
      <c r="DS1501" s="8"/>
      <c r="DT1501" s="8"/>
      <c r="DU1501" s="8"/>
      <c r="DV1501" s="8"/>
      <c r="DW1501" s="8"/>
      <c r="DX1501" s="8"/>
      <c r="DY1501" s="8"/>
      <c r="DZ1501" s="8"/>
      <c r="EA1501" s="8"/>
      <c r="EB1501" s="8"/>
      <c r="EC1501" s="8"/>
      <c r="ED1501" s="8"/>
      <c r="EE1501" s="8"/>
      <c r="EF1501" s="8"/>
      <c r="EG1501" s="8"/>
      <c r="EH1501" s="8"/>
      <c r="EI1501" s="8"/>
      <c r="EJ1501" s="8"/>
      <c r="EK1501" s="8"/>
      <c r="EL1501" s="8"/>
      <c r="EM1501" s="8"/>
      <c r="EN1501" s="8"/>
      <c r="EO1501" s="8"/>
      <c r="EP1501" s="8"/>
      <c r="EQ1501" s="8"/>
      <c r="ER1501" s="8"/>
      <c r="ES1501" s="8"/>
      <c r="ET1501" s="8"/>
      <c r="EU1501" s="8"/>
      <c r="EV1501" s="8"/>
      <c r="EW1501" s="8"/>
      <c r="EX1501" s="8"/>
      <c r="EY1501" s="8"/>
      <c r="EZ1501" s="8"/>
      <c r="FA1501" s="8"/>
      <c r="FB1501" s="8"/>
      <c r="FC1501" s="8"/>
      <c r="FD1501" s="8"/>
      <c r="FE1501" s="8"/>
      <c r="FF1501" s="8"/>
      <c r="FG1501" s="8"/>
      <c r="FH1501" s="8"/>
      <c r="FI1501" s="8"/>
      <c r="FJ1501" s="8"/>
      <c r="FK1501" s="8"/>
      <c r="FL1501" s="8"/>
      <c r="FM1501" s="8"/>
      <c r="FN1501" s="8"/>
      <c r="FO1501" s="8"/>
      <c r="FP1501" s="8"/>
      <c r="FQ1501" s="8"/>
      <c r="FR1501" s="8"/>
      <c r="FS1501" s="8"/>
      <c r="FT1501" s="8"/>
      <c r="FU1501" s="8"/>
      <c r="FV1501" s="8"/>
      <c r="FW1501" s="8"/>
      <c r="FX1501" s="8"/>
      <c r="FY1501" s="8"/>
      <c r="FZ1501" s="8"/>
      <c r="GA1501" s="8"/>
      <c r="GB1501" s="8"/>
      <c r="GC1501" s="8"/>
      <c r="GD1501" s="8"/>
      <c r="GE1501" s="8"/>
      <c r="GF1501" s="8"/>
      <c r="GG1501" s="8"/>
      <c r="GH1501" s="8"/>
      <c r="GI1501" s="8"/>
      <c r="GJ1501" s="8"/>
      <c r="GK1501" s="8"/>
      <c r="GL1501" s="8"/>
      <c r="GM1501" s="8"/>
      <c r="GN1501" s="8"/>
      <c r="GO1501" s="8"/>
      <c r="GP1501" s="8"/>
      <c r="GQ1501" s="8"/>
      <c r="GR1501" s="8"/>
      <c r="GS1501" s="8"/>
      <c r="GT1501" s="8"/>
      <c r="GU1501" s="8"/>
      <c r="GV1501" s="8"/>
      <c r="GW1501" s="8"/>
      <c r="GX1501" s="8"/>
      <c r="GY1501" s="8"/>
      <c r="GZ1501" s="8"/>
      <c r="HA1501" s="8"/>
      <c r="HB1501" s="8"/>
      <c r="HC1501" s="8"/>
      <c r="HD1501" s="8"/>
      <c r="HE1501" s="8"/>
      <c r="HF1501" s="8"/>
      <c r="HG1501" s="8"/>
      <c r="HH1501" s="8"/>
      <c r="HI1501" s="8"/>
      <c r="HJ1501" s="8"/>
      <c r="HK1501" s="8"/>
      <c r="HL1501" s="8"/>
      <c r="HM1501" s="8"/>
      <c r="HN1501" s="8"/>
      <c r="HO1501" s="8"/>
      <c r="HP1501" s="8"/>
      <c r="HQ1501" s="8"/>
      <c r="HR1501" s="8"/>
      <c r="HS1501" s="8"/>
      <c r="HT1501" s="8"/>
      <c r="HU1501" s="8"/>
      <c r="HV1501" s="8"/>
      <c r="HW1501" s="8"/>
      <c r="HX1501" s="8"/>
      <c r="HY1501" s="8"/>
      <c r="HZ1501" s="8"/>
      <c r="IA1501" s="8"/>
      <c r="IB1501" s="8"/>
      <c r="IC1501" s="8"/>
      <c r="ID1501" s="8"/>
      <c r="IE1501" s="8"/>
      <c r="IF1501" s="8"/>
    </row>
    <row r="1502" spans="1:240">
      <c r="A1502" s="14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  <c r="AK1502" s="23"/>
      <c r="AL1502" s="23"/>
      <c r="AM1502" s="23"/>
      <c r="AN1502" s="23"/>
      <c r="AO1502" s="8"/>
      <c r="AP1502" s="8"/>
      <c r="AQ1502" s="8"/>
      <c r="AR1502" s="8"/>
      <c r="AS1502" s="8"/>
      <c r="AT1502" s="8"/>
      <c r="AU1502" s="8"/>
      <c r="AV1502" s="8"/>
      <c r="AW1502" s="8"/>
      <c r="AX1502" s="8"/>
      <c r="AY1502" s="8"/>
      <c r="AZ1502" s="8"/>
      <c r="BA1502" s="8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8"/>
      <c r="BV1502" s="8"/>
      <c r="BW1502" s="8"/>
      <c r="BX1502" s="8"/>
      <c r="BY1502" s="8"/>
      <c r="BZ1502" s="8"/>
      <c r="CA1502" s="8"/>
      <c r="CB1502" s="8"/>
      <c r="CC1502" s="8"/>
      <c r="CD1502" s="8"/>
      <c r="CE1502" s="8"/>
      <c r="CF1502" s="8"/>
      <c r="CG1502" s="8"/>
      <c r="CH1502" s="8"/>
      <c r="CI1502" s="8"/>
      <c r="CJ1502" s="8"/>
      <c r="CK1502" s="8"/>
      <c r="CL1502" s="8"/>
      <c r="CM1502" s="8"/>
      <c r="CN1502" s="8"/>
      <c r="CO1502" s="8"/>
      <c r="CP1502" s="8"/>
      <c r="CQ1502" s="8"/>
      <c r="CR1502" s="8"/>
      <c r="CS1502" s="8"/>
      <c r="CT1502" s="8"/>
      <c r="CU1502" s="8"/>
      <c r="CV1502" s="8"/>
      <c r="CW1502" s="8"/>
      <c r="CX1502" s="8"/>
      <c r="CY1502" s="8"/>
      <c r="CZ1502" s="8"/>
      <c r="DA1502" s="8"/>
      <c r="DB1502" s="8"/>
      <c r="DC1502" s="8"/>
      <c r="DD1502" s="8"/>
      <c r="DE1502" s="8"/>
      <c r="DF1502" s="8"/>
      <c r="DG1502" s="8"/>
      <c r="DH1502" s="8"/>
      <c r="DI1502" s="8"/>
      <c r="DJ1502" s="8"/>
      <c r="DK1502" s="8"/>
      <c r="DL1502" s="8"/>
      <c r="DM1502" s="8"/>
      <c r="DN1502" s="8"/>
      <c r="DO1502" s="8"/>
      <c r="DP1502" s="8"/>
      <c r="DQ1502" s="8"/>
      <c r="DR1502" s="8"/>
      <c r="DS1502" s="8"/>
      <c r="DT1502" s="8"/>
      <c r="DU1502" s="8"/>
      <c r="DV1502" s="8"/>
      <c r="DW1502" s="8"/>
      <c r="DX1502" s="8"/>
      <c r="DY1502" s="8"/>
      <c r="DZ1502" s="8"/>
      <c r="EA1502" s="8"/>
      <c r="EB1502" s="8"/>
      <c r="EC1502" s="8"/>
      <c r="ED1502" s="8"/>
      <c r="EE1502" s="8"/>
      <c r="EF1502" s="8"/>
      <c r="EG1502" s="8"/>
      <c r="EH1502" s="8"/>
      <c r="EI1502" s="8"/>
      <c r="EJ1502" s="8"/>
      <c r="EK1502" s="8"/>
      <c r="EL1502" s="8"/>
      <c r="EM1502" s="8"/>
      <c r="EN1502" s="8"/>
      <c r="EO1502" s="8"/>
      <c r="EP1502" s="8"/>
      <c r="EQ1502" s="8"/>
      <c r="ER1502" s="8"/>
      <c r="ES1502" s="8"/>
      <c r="ET1502" s="8"/>
      <c r="EU1502" s="8"/>
      <c r="EV1502" s="8"/>
      <c r="EW1502" s="8"/>
      <c r="EX1502" s="8"/>
      <c r="EY1502" s="8"/>
      <c r="EZ1502" s="8"/>
      <c r="FA1502" s="8"/>
      <c r="FB1502" s="8"/>
      <c r="FC1502" s="8"/>
      <c r="FD1502" s="8"/>
      <c r="FE1502" s="8"/>
      <c r="FF1502" s="8"/>
      <c r="FG1502" s="8"/>
      <c r="FH1502" s="8"/>
      <c r="FI1502" s="8"/>
      <c r="FJ1502" s="8"/>
      <c r="FK1502" s="8"/>
      <c r="FL1502" s="8"/>
      <c r="FM1502" s="8"/>
      <c r="FN1502" s="8"/>
      <c r="FO1502" s="8"/>
      <c r="FP1502" s="8"/>
      <c r="FQ1502" s="8"/>
      <c r="FR1502" s="8"/>
      <c r="FS1502" s="8"/>
      <c r="FT1502" s="8"/>
      <c r="FU1502" s="8"/>
      <c r="FV1502" s="8"/>
      <c r="FW1502" s="8"/>
      <c r="FX1502" s="8"/>
      <c r="FY1502" s="8"/>
      <c r="FZ1502" s="8"/>
      <c r="GA1502" s="8"/>
      <c r="GB1502" s="8"/>
      <c r="GC1502" s="8"/>
      <c r="GD1502" s="8"/>
      <c r="GE1502" s="8"/>
      <c r="GF1502" s="8"/>
      <c r="GG1502" s="8"/>
      <c r="GH1502" s="8"/>
      <c r="GI1502" s="8"/>
      <c r="GJ1502" s="8"/>
      <c r="GK1502" s="8"/>
      <c r="GL1502" s="8"/>
      <c r="GM1502" s="8"/>
      <c r="GN1502" s="8"/>
      <c r="GO1502" s="8"/>
      <c r="GP1502" s="8"/>
      <c r="GQ1502" s="8"/>
      <c r="GR1502" s="8"/>
      <c r="GS1502" s="8"/>
      <c r="GT1502" s="8"/>
      <c r="GU1502" s="8"/>
      <c r="GV1502" s="8"/>
      <c r="GW1502" s="8"/>
      <c r="GX1502" s="8"/>
      <c r="GY1502" s="8"/>
      <c r="GZ1502" s="8"/>
      <c r="HA1502" s="8"/>
      <c r="HB1502" s="8"/>
      <c r="HC1502" s="8"/>
      <c r="HD1502" s="8"/>
      <c r="HE1502" s="8"/>
      <c r="HF1502" s="8"/>
      <c r="HG1502" s="8"/>
      <c r="HH1502" s="8"/>
      <c r="HI1502" s="8"/>
      <c r="HJ1502" s="8"/>
      <c r="HK1502" s="8"/>
      <c r="HL1502" s="8"/>
      <c r="HM1502" s="8"/>
      <c r="HN1502" s="8"/>
      <c r="HO1502" s="8"/>
      <c r="HP1502" s="8"/>
      <c r="HQ1502" s="8"/>
      <c r="HR1502" s="8"/>
      <c r="HS1502" s="8"/>
      <c r="HT1502" s="8"/>
      <c r="HU1502" s="8"/>
      <c r="HV1502" s="8"/>
      <c r="HW1502" s="8"/>
      <c r="HX1502" s="8"/>
      <c r="HY1502" s="8"/>
      <c r="HZ1502" s="8"/>
      <c r="IA1502" s="8"/>
      <c r="IB1502" s="8"/>
      <c r="IC1502" s="8"/>
      <c r="ID1502" s="8"/>
      <c r="IE1502" s="8"/>
      <c r="IF1502" s="8"/>
    </row>
    <row r="1503" spans="1:240">
      <c r="A1503" s="14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8"/>
      <c r="AP1503" s="8"/>
      <c r="AQ1503" s="8"/>
      <c r="AR1503" s="8"/>
      <c r="AS1503" s="8"/>
      <c r="AT1503" s="8"/>
      <c r="AU1503" s="8"/>
      <c r="AV1503" s="8"/>
      <c r="AW1503" s="8"/>
      <c r="AX1503" s="8"/>
      <c r="AY1503" s="8"/>
      <c r="AZ1503" s="8"/>
      <c r="BA1503" s="8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8"/>
      <c r="BV1503" s="8"/>
      <c r="BW1503" s="8"/>
      <c r="BX1503" s="8"/>
      <c r="BY1503" s="8"/>
      <c r="BZ1503" s="8"/>
      <c r="CA1503" s="8"/>
      <c r="CB1503" s="8"/>
      <c r="CC1503" s="8"/>
      <c r="CD1503" s="8"/>
      <c r="CE1503" s="8"/>
      <c r="CF1503" s="8"/>
      <c r="CG1503" s="8"/>
      <c r="CH1503" s="8"/>
      <c r="CI1503" s="8"/>
      <c r="CJ1503" s="8"/>
      <c r="CK1503" s="8"/>
      <c r="CL1503" s="8"/>
      <c r="CM1503" s="8"/>
      <c r="CN1503" s="8"/>
      <c r="CO1503" s="8"/>
      <c r="CP1503" s="8"/>
      <c r="CQ1503" s="8"/>
      <c r="CR1503" s="8"/>
      <c r="CS1503" s="8"/>
      <c r="CT1503" s="8"/>
      <c r="CU1503" s="8"/>
      <c r="CV1503" s="8"/>
      <c r="CW1503" s="8"/>
      <c r="CX1503" s="8"/>
      <c r="CY1503" s="8"/>
      <c r="CZ1503" s="8"/>
      <c r="DA1503" s="8"/>
      <c r="DB1503" s="8"/>
      <c r="DC1503" s="8"/>
      <c r="DD1503" s="8"/>
      <c r="DE1503" s="8"/>
      <c r="DF1503" s="8"/>
      <c r="DG1503" s="8"/>
      <c r="DH1503" s="8"/>
      <c r="DI1503" s="8"/>
      <c r="DJ1503" s="8"/>
      <c r="DK1503" s="8"/>
      <c r="DL1503" s="8"/>
      <c r="DM1503" s="8"/>
      <c r="DN1503" s="8"/>
      <c r="DO1503" s="8"/>
      <c r="DP1503" s="8"/>
      <c r="DQ1503" s="8"/>
      <c r="DR1503" s="8"/>
      <c r="DS1503" s="8"/>
      <c r="DT1503" s="8"/>
      <c r="DU1503" s="8"/>
      <c r="DV1503" s="8"/>
      <c r="DW1503" s="8"/>
      <c r="DX1503" s="8"/>
      <c r="DY1503" s="8"/>
      <c r="DZ1503" s="8"/>
      <c r="EA1503" s="8"/>
      <c r="EB1503" s="8"/>
      <c r="EC1503" s="8"/>
      <c r="ED1503" s="8"/>
      <c r="EE1503" s="8"/>
      <c r="EF1503" s="8"/>
      <c r="EG1503" s="8"/>
      <c r="EH1503" s="8"/>
      <c r="EI1503" s="8"/>
      <c r="EJ1503" s="8"/>
      <c r="EK1503" s="8"/>
      <c r="EL1503" s="8"/>
      <c r="EM1503" s="8"/>
      <c r="EN1503" s="8"/>
      <c r="EO1503" s="8"/>
      <c r="EP1503" s="8"/>
      <c r="EQ1503" s="8"/>
      <c r="ER1503" s="8"/>
      <c r="ES1503" s="8"/>
      <c r="ET1503" s="8"/>
      <c r="EU1503" s="8"/>
      <c r="EV1503" s="8"/>
      <c r="EW1503" s="8"/>
      <c r="EX1503" s="8"/>
      <c r="EY1503" s="8"/>
      <c r="EZ1503" s="8"/>
      <c r="FA1503" s="8"/>
      <c r="FB1503" s="8"/>
      <c r="FC1503" s="8"/>
      <c r="FD1503" s="8"/>
      <c r="FE1503" s="8"/>
      <c r="FF1503" s="8"/>
      <c r="FG1503" s="8"/>
      <c r="FH1503" s="8"/>
      <c r="FI1503" s="8"/>
      <c r="FJ1503" s="8"/>
      <c r="FK1503" s="8"/>
      <c r="FL1503" s="8"/>
      <c r="FM1503" s="8"/>
      <c r="FN1503" s="8"/>
      <c r="FO1503" s="8"/>
      <c r="FP1503" s="8"/>
      <c r="FQ1503" s="8"/>
      <c r="FR1503" s="8"/>
      <c r="FS1503" s="8"/>
      <c r="FT1503" s="8"/>
      <c r="FU1503" s="8"/>
      <c r="FV1503" s="8"/>
      <c r="FW1503" s="8"/>
      <c r="FX1503" s="8"/>
      <c r="FY1503" s="8"/>
      <c r="FZ1503" s="8"/>
      <c r="GA1503" s="8"/>
      <c r="GB1503" s="8"/>
      <c r="GC1503" s="8"/>
      <c r="GD1503" s="8"/>
      <c r="GE1503" s="8"/>
      <c r="GF1503" s="8"/>
      <c r="GG1503" s="8"/>
      <c r="GH1503" s="8"/>
      <c r="GI1503" s="8"/>
      <c r="GJ1503" s="8"/>
      <c r="GK1503" s="8"/>
      <c r="GL1503" s="8"/>
      <c r="GM1503" s="8"/>
      <c r="GN1503" s="8"/>
      <c r="GO1503" s="8"/>
      <c r="GP1503" s="8"/>
      <c r="GQ1503" s="8"/>
      <c r="GR1503" s="8"/>
      <c r="GS1503" s="8"/>
      <c r="GT1503" s="8"/>
      <c r="GU1503" s="8"/>
      <c r="GV1503" s="8"/>
      <c r="GW1503" s="8"/>
      <c r="GX1503" s="8"/>
      <c r="GY1503" s="8"/>
      <c r="GZ1503" s="8"/>
      <c r="HA1503" s="8"/>
      <c r="HB1503" s="8"/>
      <c r="HC1503" s="8"/>
      <c r="HD1503" s="8"/>
      <c r="HE1503" s="8"/>
      <c r="HF1503" s="8"/>
      <c r="HG1503" s="8"/>
      <c r="HH1503" s="8"/>
      <c r="HI1503" s="8"/>
      <c r="HJ1503" s="8"/>
      <c r="HK1503" s="8"/>
      <c r="HL1503" s="8"/>
      <c r="HM1503" s="8"/>
      <c r="HN1503" s="8"/>
      <c r="HO1503" s="8"/>
      <c r="HP1503" s="8"/>
      <c r="HQ1503" s="8"/>
      <c r="HR1503" s="8"/>
      <c r="HS1503" s="8"/>
      <c r="HT1503" s="8"/>
      <c r="HU1503" s="8"/>
      <c r="HV1503" s="8"/>
      <c r="HW1503" s="8"/>
      <c r="HX1503" s="8"/>
      <c r="HY1503" s="8"/>
      <c r="HZ1503" s="8"/>
      <c r="IA1503" s="8"/>
      <c r="IB1503" s="8"/>
      <c r="IC1503" s="8"/>
      <c r="ID1503" s="8"/>
      <c r="IE1503" s="8"/>
      <c r="IF1503" s="8"/>
    </row>
    <row r="1504" spans="1:240">
      <c r="A1504" s="14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8"/>
      <c r="AP1504" s="8"/>
      <c r="AQ1504" s="8"/>
      <c r="AR1504" s="8"/>
      <c r="AS1504" s="8"/>
      <c r="AT1504" s="8"/>
      <c r="AU1504" s="8"/>
      <c r="AV1504" s="8"/>
      <c r="AW1504" s="8"/>
      <c r="AX1504" s="8"/>
      <c r="AY1504" s="8"/>
      <c r="AZ1504" s="8"/>
      <c r="BA1504" s="8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/>
      <c r="CK1504" s="8"/>
      <c r="CL1504" s="8"/>
      <c r="CM1504" s="8"/>
      <c r="CN1504" s="8"/>
      <c r="CO1504" s="8"/>
      <c r="CP1504" s="8"/>
      <c r="CQ1504" s="8"/>
      <c r="CR1504" s="8"/>
      <c r="CS1504" s="8"/>
      <c r="CT1504" s="8"/>
      <c r="CU1504" s="8"/>
      <c r="CV1504" s="8"/>
      <c r="CW1504" s="8"/>
      <c r="CX1504" s="8"/>
      <c r="CY1504" s="8"/>
      <c r="CZ1504" s="8"/>
      <c r="DA1504" s="8"/>
      <c r="DB1504" s="8"/>
      <c r="DC1504" s="8"/>
      <c r="DD1504" s="8"/>
      <c r="DE1504" s="8"/>
      <c r="DF1504" s="8"/>
      <c r="DG1504" s="8"/>
      <c r="DH1504" s="8"/>
      <c r="DI1504" s="8"/>
      <c r="DJ1504" s="8"/>
      <c r="DK1504" s="8"/>
      <c r="DL1504" s="8"/>
      <c r="DM1504" s="8"/>
      <c r="DN1504" s="8"/>
      <c r="DO1504" s="8"/>
      <c r="DP1504" s="8"/>
      <c r="DQ1504" s="8"/>
      <c r="DR1504" s="8"/>
      <c r="DS1504" s="8"/>
      <c r="DT1504" s="8"/>
      <c r="DU1504" s="8"/>
      <c r="DV1504" s="8"/>
      <c r="DW1504" s="8"/>
      <c r="DX1504" s="8"/>
      <c r="DY1504" s="8"/>
      <c r="DZ1504" s="8"/>
      <c r="EA1504" s="8"/>
      <c r="EB1504" s="8"/>
      <c r="EC1504" s="8"/>
      <c r="ED1504" s="8"/>
      <c r="EE1504" s="8"/>
      <c r="EF1504" s="8"/>
      <c r="EG1504" s="8"/>
      <c r="EH1504" s="8"/>
      <c r="EI1504" s="8"/>
      <c r="EJ1504" s="8"/>
      <c r="EK1504" s="8"/>
      <c r="EL1504" s="8"/>
      <c r="EM1504" s="8"/>
      <c r="EN1504" s="8"/>
      <c r="EO1504" s="8"/>
      <c r="EP1504" s="8"/>
      <c r="EQ1504" s="8"/>
      <c r="ER1504" s="8"/>
      <c r="ES1504" s="8"/>
      <c r="ET1504" s="8"/>
      <c r="EU1504" s="8"/>
      <c r="EV1504" s="8"/>
      <c r="EW1504" s="8"/>
      <c r="EX1504" s="8"/>
      <c r="EY1504" s="8"/>
      <c r="EZ1504" s="8"/>
      <c r="FA1504" s="8"/>
      <c r="FB1504" s="8"/>
      <c r="FC1504" s="8"/>
      <c r="FD1504" s="8"/>
      <c r="FE1504" s="8"/>
      <c r="FF1504" s="8"/>
      <c r="FG1504" s="8"/>
      <c r="FH1504" s="8"/>
      <c r="FI1504" s="8"/>
      <c r="FJ1504" s="8"/>
      <c r="FK1504" s="8"/>
      <c r="FL1504" s="8"/>
      <c r="FM1504" s="8"/>
      <c r="FN1504" s="8"/>
      <c r="FO1504" s="8"/>
      <c r="FP1504" s="8"/>
      <c r="FQ1504" s="8"/>
      <c r="FR1504" s="8"/>
      <c r="FS1504" s="8"/>
      <c r="FT1504" s="8"/>
      <c r="FU1504" s="8"/>
      <c r="FV1504" s="8"/>
      <c r="FW1504" s="8"/>
      <c r="FX1504" s="8"/>
      <c r="FY1504" s="8"/>
      <c r="FZ1504" s="8"/>
      <c r="GA1504" s="8"/>
      <c r="GB1504" s="8"/>
      <c r="GC1504" s="8"/>
      <c r="GD1504" s="8"/>
      <c r="GE1504" s="8"/>
      <c r="GF1504" s="8"/>
      <c r="GG1504" s="8"/>
      <c r="GH1504" s="8"/>
      <c r="GI1504" s="8"/>
      <c r="GJ1504" s="8"/>
      <c r="GK1504" s="8"/>
      <c r="GL1504" s="8"/>
      <c r="GM1504" s="8"/>
      <c r="GN1504" s="8"/>
      <c r="GO1504" s="8"/>
      <c r="GP1504" s="8"/>
      <c r="GQ1504" s="8"/>
      <c r="GR1504" s="8"/>
      <c r="GS1504" s="8"/>
      <c r="GT1504" s="8"/>
      <c r="GU1504" s="8"/>
      <c r="GV1504" s="8"/>
      <c r="GW1504" s="8"/>
      <c r="GX1504" s="8"/>
      <c r="GY1504" s="8"/>
      <c r="GZ1504" s="8"/>
      <c r="HA1504" s="8"/>
      <c r="HB1504" s="8"/>
      <c r="HC1504" s="8"/>
      <c r="HD1504" s="8"/>
      <c r="HE1504" s="8"/>
      <c r="HF1504" s="8"/>
      <c r="HG1504" s="8"/>
      <c r="HH1504" s="8"/>
      <c r="HI1504" s="8"/>
      <c r="HJ1504" s="8"/>
      <c r="HK1504" s="8"/>
      <c r="HL1504" s="8"/>
      <c r="HM1504" s="8"/>
      <c r="HN1504" s="8"/>
      <c r="HO1504" s="8"/>
      <c r="HP1504" s="8"/>
      <c r="HQ1504" s="8"/>
      <c r="HR1504" s="8"/>
      <c r="HS1504" s="8"/>
      <c r="HT1504" s="8"/>
      <c r="HU1504" s="8"/>
      <c r="HV1504" s="8"/>
      <c r="HW1504" s="8"/>
      <c r="HX1504" s="8"/>
      <c r="HY1504" s="8"/>
      <c r="HZ1504" s="8"/>
      <c r="IA1504" s="8"/>
      <c r="IB1504" s="8"/>
      <c r="IC1504" s="8"/>
      <c r="ID1504" s="8"/>
      <c r="IE1504" s="8"/>
      <c r="IF1504" s="8"/>
    </row>
    <row r="1505" spans="1:240">
      <c r="A1505" s="14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8"/>
      <c r="AP1505" s="8"/>
      <c r="AQ1505" s="8"/>
      <c r="AR1505" s="8"/>
      <c r="AS1505" s="8"/>
      <c r="AT1505" s="8"/>
      <c r="AU1505" s="8"/>
      <c r="AV1505" s="8"/>
      <c r="AW1505" s="8"/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/>
      <c r="CA1505" s="8"/>
      <c r="CB1505" s="8"/>
      <c r="CC1505" s="8"/>
      <c r="CD1505" s="8"/>
      <c r="CE1505" s="8"/>
      <c r="CF1505" s="8"/>
      <c r="CG1505" s="8"/>
      <c r="CH1505" s="8"/>
      <c r="CI1505" s="8"/>
      <c r="CJ1505" s="8"/>
      <c r="CK1505" s="8"/>
      <c r="CL1505" s="8"/>
      <c r="CM1505" s="8"/>
      <c r="CN1505" s="8"/>
      <c r="CO1505" s="8"/>
      <c r="CP1505" s="8"/>
      <c r="CQ1505" s="8"/>
      <c r="CR1505" s="8"/>
      <c r="CS1505" s="8"/>
      <c r="CT1505" s="8"/>
      <c r="CU1505" s="8"/>
      <c r="CV1505" s="8"/>
      <c r="CW1505" s="8"/>
      <c r="CX1505" s="8"/>
      <c r="CY1505" s="8"/>
      <c r="CZ1505" s="8"/>
      <c r="DA1505" s="8"/>
      <c r="DB1505" s="8"/>
      <c r="DC1505" s="8"/>
      <c r="DD1505" s="8"/>
      <c r="DE1505" s="8"/>
      <c r="DF1505" s="8"/>
      <c r="DG1505" s="8"/>
      <c r="DH1505" s="8"/>
      <c r="DI1505" s="8"/>
      <c r="DJ1505" s="8"/>
      <c r="DK1505" s="8"/>
      <c r="DL1505" s="8"/>
      <c r="DM1505" s="8"/>
      <c r="DN1505" s="8"/>
      <c r="DO1505" s="8"/>
      <c r="DP1505" s="8"/>
      <c r="DQ1505" s="8"/>
      <c r="DR1505" s="8"/>
      <c r="DS1505" s="8"/>
      <c r="DT1505" s="8"/>
      <c r="DU1505" s="8"/>
      <c r="DV1505" s="8"/>
      <c r="DW1505" s="8"/>
      <c r="DX1505" s="8"/>
      <c r="DY1505" s="8"/>
      <c r="DZ1505" s="8"/>
      <c r="EA1505" s="8"/>
      <c r="EB1505" s="8"/>
      <c r="EC1505" s="8"/>
      <c r="ED1505" s="8"/>
      <c r="EE1505" s="8"/>
      <c r="EF1505" s="8"/>
      <c r="EG1505" s="8"/>
      <c r="EH1505" s="8"/>
      <c r="EI1505" s="8"/>
      <c r="EJ1505" s="8"/>
      <c r="EK1505" s="8"/>
      <c r="EL1505" s="8"/>
      <c r="EM1505" s="8"/>
      <c r="EN1505" s="8"/>
      <c r="EO1505" s="8"/>
      <c r="EP1505" s="8"/>
      <c r="EQ1505" s="8"/>
      <c r="ER1505" s="8"/>
      <c r="ES1505" s="8"/>
      <c r="ET1505" s="8"/>
      <c r="EU1505" s="8"/>
      <c r="EV1505" s="8"/>
      <c r="EW1505" s="8"/>
      <c r="EX1505" s="8"/>
      <c r="EY1505" s="8"/>
      <c r="EZ1505" s="8"/>
      <c r="FA1505" s="8"/>
      <c r="FB1505" s="8"/>
      <c r="FC1505" s="8"/>
      <c r="FD1505" s="8"/>
      <c r="FE1505" s="8"/>
      <c r="FF1505" s="8"/>
      <c r="FG1505" s="8"/>
      <c r="FH1505" s="8"/>
      <c r="FI1505" s="8"/>
      <c r="FJ1505" s="8"/>
      <c r="FK1505" s="8"/>
      <c r="FL1505" s="8"/>
      <c r="FM1505" s="8"/>
      <c r="FN1505" s="8"/>
      <c r="FO1505" s="8"/>
      <c r="FP1505" s="8"/>
      <c r="FQ1505" s="8"/>
      <c r="FR1505" s="8"/>
      <c r="FS1505" s="8"/>
      <c r="FT1505" s="8"/>
      <c r="FU1505" s="8"/>
      <c r="FV1505" s="8"/>
      <c r="FW1505" s="8"/>
      <c r="FX1505" s="8"/>
      <c r="FY1505" s="8"/>
      <c r="FZ1505" s="8"/>
      <c r="GA1505" s="8"/>
      <c r="GB1505" s="8"/>
      <c r="GC1505" s="8"/>
      <c r="GD1505" s="8"/>
      <c r="GE1505" s="8"/>
      <c r="GF1505" s="8"/>
      <c r="GG1505" s="8"/>
      <c r="GH1505" s="8"/>
      <c r="GI1505" s="8"/>
      <c r="GJ1505" s="8"/>
      <c r="GK1505" s="8"/>
      <c r="GL1505" s="8"/>
      <c r="GM1505" s="8"/>
      <c r="GN1505" s="8"/>
      <c r="GO1505" s="8"/>
      <c r="GP1505" s="8"/>
      <c r="GQ1505" s="8"/>
      <c r="GR1505" s="8"/>
      <c r="GS1505" s="8"/>
      <c r="GT1505" s="8"/>
      <c r="GU1505" s="8"/>
      <c r="GV1505" s="8"/>
      <c r="GW1505" s="8"/>
      <c r="GX1505" s="8"/>
      <c r="GY1505" s="8"/>
      <c r="GZ1505" s="8"/>
      <c r="HA1505" s="8"/>
      <c r="HB1505" s="8"/>
      <c r="HC1505" s="8"/>
      <c r="HD1505" s="8"/>
      <c r="HE1505" s="8"/>
      <c r="HF1505" s="8"/>
      <c r="HG1505" s="8"/>
      <c r="HH1505" s="8"/>
      <c r="HI1505" s="8"/>
      <c r="HJ1505" s="8"/>
      <c r="HK1505" s="8"/>
      <c r="HL1505" s="8"/>
      <c r="HM1505" s="8"/>
      <c r="HN1505" s="8"/>
      <c r="HO1505" s="8"/>
      <c r="HP1505" s="8"/>
      <c r="HQ1505" s="8"/>
      <c r="HR1505" s="8"/>
      <c r="HS1505" s="8"/>
      <c r="HT1505" s="8"/>
      <c r="HU1505" s="8"/>
      <c r="HV1505" s="8"/>
      <c r="HW1505" s="8"/>
      <c r="HX1505" s="8"/>
      <c r="HY1505" s="8"/>
      <c r="HZ1505" s="8"/>
      <c r="IA1505" s="8"/>
      <c r="IB1505" s="8"/>
      <c r="IC1505" s="8"/>
      <c r="ID1505" s="8"/>
      <c r="IE1505" s="8"/>
      <c r="IF1505" s="8"/>
    </row>
    <row r="1506" spans="1:240">
      <c r="A1506" s="14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8"/>
      <c r="AP1506" s="8"/>
      <c r="AQ1506" s="8"/>
      <c r="AR1506" s="8"/>
      <c r="AS1506" s="8"/>
      <c r="AT1506" s="8"/>
      <c r="AU1506" s="8"/>
      <c r="AV1506" s="8"/>
      <c r="AW1506" s="8"/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/>
      <c r="CA1506" s="8"/>
      <c r="CB1506" s="8"/>
      <c r="CC1506" s="8"/>
      <c r="CD1506" s="8"/>
      <c r="CE1506" s="8"/>
      <c r="CF1506" s="8"/>
      <c r="CG1506" s="8"/>
      <c r="CH1506" s="8"/>
      <c r="CI1506" s="8"/>
      <c r="CJ1506" s="8"/>
      <c r="CK1506" s="8"/>
      <c r="CL1506" s="8"/>
      <c r="CM1506" s="8"/>
      <c r="CN1506" s="8"/>
      <c r="CO1506" s="8"/>
      <c r="CP1506" s="8"/>
      <c r="CQ1506" s="8"/>
      <c r="CR1506" s="8"/>
      <c r="CS1506" s="8"/>
      <c r="CT1506" s="8"/>
      <c r="CU1506" s="8"/>
      <c r="CV1506" s="8"/>
      <c r="CW1506" s="8"/>
      <c r="CX1506" s="8"/>
      <c r="CY1506" s="8"/>
      <c r="CZ1506" s="8"/>
      <c r="DA1506" s="8"/>
      <c r="DB1506" s="8"/>
      <c r="DC1506" s="8"/>
      <c r="DD1506" s="8"/>
      <c r="DE1506" s="8"/>
      <c r="DF1506" s="8"/>
      <c r="DG1506" s="8"/>
      <c r="DH1506" s="8"/>
      <c r="DI1506" s="8"/>
      <c r="DJ1506" s="8"/>
      <c r="DK1506" s="8"/>
      <c r="DL1506" s="8"/>
      <c r="DM1506" s="8"/>
      <c r="DN1506" s="8"/>
      <c r="DO1506" s="8"/>
      <c r="DP1506" s="8"/>
      <c r="DQ1506" s="8"/>
      <c r="DR1506" s="8"/>
      <c r="DS1506" s="8"/>
      <c r="DT1506" s="8"/>
      <c r="DU1506" s="8"/>
      <c r="DV1506" s="8"/>
      <c r="DW1506" s="8"/>
      <c r="DX1506" s="8"/>
      <c r="DY1506" s="8"/>
      <c r="DZ1506" s="8"/>
      <c r="EA1506" s="8"/>
      <c r="EB1506" s="8"/>
      <c r="EC1506" s="8"/>
      <c r="ED1506" s="8"/>
      <c r="EE1506" s="8"/>
      <c r="EF1506" s="8"/>
      <c r="EG1506" s="8"/>
      <c r="EH1506" s="8"/>
      <c r="EI1506" s="8"/>
      <c r="EJ1506" s="8"/>
      <c r="EK1506" s="8"/>
      <c r="EL1506" s="8"/>
      <c r="EM1506" s="8"/>
      <c r="EN1506" s="8"/>
      <c r="EO1506" s="8"/>
      <c r="EP1506" s="8"/>
      <c r="EQ1506" s="8"/>
      <c r="ER1506" s="8"/>
      <c r="ES1506" s="8"/>
      <c r="ET1506" s="8"/>
      <c r="EU1506" s="8"/>
      <c r="EV1506" s="8"/>
      <c r="EW1506" s="8"/>
      <c r="EX1506" s="8"/>
      <c r="EY1506" s="8"/>
      <c r="EZ1506" s="8"/>
      <c r="FA1506" s="8"/>
      <c r="FB1506" s="8"/>
      <c r="FC1506" s="8"/>
      <c r="FD1506" s="8"/>
      <c r="FE1506" s="8"/>
      <c r="FF1506" s="8"/>
      <c r="FG1506" s="8"/>
      <c r="FH1506" s="8"/>
      <c r="FI1506" s="8"/>
      <c r="FJ1506" s="8"/>
      <c r="FK1506" s="8"/>
      <c r="FL1506" s="8"/>
      <c r="FM1506" s="8"/>
      <c r="FN1506" s="8"/>
      <c r="FO1506" s="8"/>
      <c r="FP1506" s="8"/>
      <c r="FQ1506" s="8"/>
      <c r="FR1506" s="8"/>
      <c r="FS1506" s="8"/>
      <c r="FT1506" s="8"/>
      <c r="FU1506" s="8"/>
      <c r="FV1506" s="8"/>
      <c r="FW1506" s="8"/>
      <c r="FX1506" s="8"/>
      <c r="FY1506" s="8"/>
      <c r="FZ1506" s="8"/>
      <c r="GA1506" s="8"/>
      <c r="GB1506" s="8"/>
      <c r="GC1506" s="8"/>
      <c r="GD1506" s="8"/>
      <c r="GE1506" s="8"/>
      <c r="GF1506" s="8"/>
      <c r="GG1506" s="8"/>
      <c r="GH1506" s="8"/>
      <c r="GI1506" s="8"/>
      <c r="GJ1506" s="8"/>
      <c r="GK1506" s="8"/>
      <c r="GL1506" s="8"/>
      <c r="GM1506" s="8"/>
      <c r="GN1506" s="8"/>
      <c r="GO1506" s="8"/>
      <c r="GP1506" s="8"/>
      <c r="GQ1506" s="8"/>
      <c r="GR1506" s="8"/>
      <c r="GS1506" s="8"/>
      <c r="GT1506" s="8"/>
      <c r="GU1506" s="8"/>
      <c r="GV1506" s="8"/>
      <c r="GW1506" s="8"/>
      <c r="GX1506" s="8"/>
      <c r="GY1506" s="8"/>
      <c r="GZ1506" s="8"/>
      <c r="HA1506" s="8"/>
      <c r="HB1506" s="8"/>
      <c r="HC1506" s="8"/>
      <c r="HD1506" s="8"/>
      <c r="HE1506" s="8"/>
      <c r="HF1506" s="8"/>
      <c r="HG1506" s="8"/>
      <c r="HH1506" s="8"/>
      <c r="HI1506" s="8"/>
      <c r="HJ1506" s="8"/>
      <c r="HK1506" s="8"/>
      <c r="HL1506" s="8"/>
      <c r="HM1506" s="8"/>
      <c r="HN1506" s="8"/>
      <c r="HO1506" s="8"/>
      <c r="HP1506" s="8"/>
      <c r="HQ1506" s="8"/>
      <c r="HR1506" s="8"/>
      <c r="HS1506" s="8"/>
      <c r="HT1506" s="8"/>
      <c r="HU1506" s="8"/>
      <c r="HV1506" s="8"/>
      <c r="HW1506" s="8"/>
      <c r="HX1506" s="8"/>
      <c r="HY1506" s="8"/>
      <c r="HZ1506" s="8"/>
      <c r="IA1506" s="8"/>
      <c r="IB1506" s="8"/>
      <c r="IC1506" s="8"/>
      <c r="ID1506" s="8"/>
      <c r="IE1506" s="8"/>
      <c r="IF1506" s="8"/>
    </row>
    <row r="1507" spans="1:240">
      <c r="A1507" s="14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/>
      <c r="CA1507" s="8"/>
      <c r="CB1507" s="8"/>
      <c r="CC1507" s="8"/>
      <c r="CD1507" s="8"/>
      <c r="CE1507" s="8"/>
      <c r="CF1507" s="8"/>
      <c r="CG1507" s="8"/>
      <c r="CH1507" s="8"/>
      <c r="CI1507" s="8"/>
      <c r="CJ1507" s="8"/>
      <c r="CK1507" s="8"/>
      <c r="CL1507" s="8"/>
      <c r="CM1507" s="8"/>
      <c r="CN1507" s="8"/>
      <c r="CO1507" s="8"/>
      <c r="CP1507" s="8"/>
      <c r="CQ1507" s="8"/>
      <c r="CR1507" s="8"/>
      <c r="CS1507" s="8"/>
      <c r="CT1507" s="8"/>
      <c r="CU1507" s="8"/>
      <c r="CV1507" s="8"/>
      <c r="CW1507" s="8"/>
      <c r="CX1507" s="8"/>
      <c r="CY1507" s="8"/>
      <c r="CZ1507" s="8"/>
      <c r="DA1507" s="8"/>
      <c r="DB1507" s="8"/>
      <c r="DC1507" s="8"/>
      <c r="DD1507" s="8"/>
      <c r="DE1507" s="8"/>
      <c r="DF1507" s="8"/>
      <c r="DG1507" s="8"/>
      <c r="DH1507" s="8"/>
      <c r="DI1507" s="8"/>
      <c r="DJ1507" s="8"/>
      <c r="DK1507" s="8"/>
      <c r="DL1507" s="8"/>
      <c r="DM1507" s="8"/>
      <c r="DN1507" s="8"/>
      <c r="DO1507" s="8"/>
      <c r="DP1507" s="8"/>
      <c r="DQ1507" s="8"/>
      <c r="DR1507" s="8"/>
      <c r="DS1507" s="8"/>
      <c r="DT1507" s="8"/>
      <c r="DU1507" s="8"/>
      <c r="DV1507" s="8"/>
      <c r="DW1507" s="8"/>
      <c r="DX1507" s="8"/>
      <c r="DY1507" s="8"/>
      <c r="DZ1507" s="8"/>
      <c r="EA1507" s="8"/>
      <c r="EB1507" s="8"/>
      <c r="EC1507" s="8"/>
      <c r="ED1507" s="8"/>
      <c r="EE1507" s="8"/>
      <c r="EF1507" s="8"/>
      <c r="EG1507" s="8"/>
      <c r="EH1507" s="8"/>
      <c r="EI1507" s="8"/>
      <c r="EJ1507" s="8"/>
      <c r="EK1507" s="8"/>
      <c r="EL1507" s="8"/>
      <c r="EM1507" s="8"/>
      <c r="EN1507" s="8"/>
      <c r="EO1507" s="8"/>
      <c r="EP1507" s="8"/>
      <c r="EQ1507" s="8"/>
      <c r="ER1507" s="8"/>
      <c r="ES1507" s="8"/>
      <c r="ET1507" s="8"/>
      <c r="EU1507" s="8"/>
      <c r="EV1507" s="8"/>
      <c r="EW1507" s="8"/>
      <c r="EX1507" s="8"/>
      <c r="EY1507" s="8"/>
      <c r="EZ1507" s="8"/>
      <c r="FA1507" s="8"/>
      <c r="FB1507" s="8"/>
      <c r="FC1507" s="8"/>
      <c r="FD1507" s="8"/>
      <c r="FE1507" s="8"/>
      <c r="FF1507" s="8"/>
      <c r="FG1507" s="8"/>
      <c r="FH1507" s="8"/>
      <c r="FI1507" s="8"/>
      <c r="FJ1507" s="8"/>
      <c r="FK1507" s="8"/>
      <c r="FL1507" s="8"/>
      <c r="FM1507" s="8"/>
      <c r="FN1507" s="8"/>
      <c r="FO1507" s="8"/>
      <c r="FP1507" s="8"/>
      <c r="FQ1507" s="8"/>
      <c r="FR1507" s="8"/>
      <c r="FS1507" s="8"/>
      <c r="FT1507" s="8"/>
      <c r="FU1507" s="8"/>
      <c r="FV1507" s="8"/>
      <c r="FW1507" s="8"/>
      <c r="FX1507" s="8"/>
      <c r="FY1507" s="8"/>
      <c r="FZ1507" s="8"/>
      <c r="GA1507" s="8"/>
      <c r="GB1507" s="8"/>
      <c r="GC1507" s="8"/>
      <c r="GD1507" s="8"/>
      <c r="GE1507" s="8"/>
      <c r="GF1507" s="8"/>
      <c r="GG1507" s="8"/>
      <c r="GH1507" s="8"/>
      <c r="GI1507" s="8"/>
      <c r="GJ1507" s="8"/>
      <c r="GK1507" s="8"/>
      <c r="GL1507" s="8"/>
      <c r="GM1507" s="8"/>
      <c r="GN1507" s="8"/>
      <c r="GO1507" s="8"/>
      <c r="GP1507" s="8"/>
      <c r="GQ1507" s="8"/>
      <c r="GR1507" s="8"/>
      <c r="GS1507" s="8"/>
      <c r="GT1507" s="8"/>
      <c r="GU1507" s="8"/>
      <c r="GV1507" s="8"/>
      <c r="GW1507" s="8"/>
      <c r="GX1507" s="8"/>
      <c r="GY1507" s="8"/>
      <c r="GZ1507" s="8"/>
      <c r="HA1507" s="8"/>
      <c r="HB1507" s="8"/>
      <c r="HC1507" s="8"/>
      <c r="HD1507" s="8"/>
      <c r="HE1507" s="8"/>
      <c r="HF1507" s="8"/>
      <c r="HG1507" s="8"/>
      <c r="HH1507" s="8"/>
      <c r="HI1507" s="8"/>
      <c r="HJ1507" s="8"/>
      <c r="HK1507" s="8"/>
      <c r="HL1507" s="8"/>
      <c r="HM1507" s="8"/>
      <c r="HN1507" s="8"/>
      <c r="HO1507" s="8"/>
      <c r="HP1507" s="8"/>
      <c r="HQ1507" s="8"/>
      <c r="HR1507" s="8"/>
      <c r="HS1507" s="8"/>
      <c r="HT1507" s="8"/>
      <c r="HU1507" s="8"/>
      <c r="HV1507" s="8"/>
      <c r="HW1507" s="8"/>
      <c r="HX1507" s="8"/>
      <c r="HY1507" s="8"/>
      <c r="HZ1507" s="8"/>
      <c r="IA1507" s="8"/>
      <c r="IB1507" s="8"/>
      <c r="IC1507" s="8"/>
      <c r="ID1507" s="8"/>
      <c r="IE1507" s="8"/>
      <c r="IF1507" s="8"/>
    </row>
    <row r="1508" spans="1:240">
      <c r="A1508" s="14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  <c r="AK1508" s="23"/>
      <c r="AL1508" s="23"/>
      <c r="AM1508" s="23"/>
      <c r="AN1508" s="23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8"/>
      <c r="BV1508" s="8"/>
      <c r="BW1508" s="8"/>
      <c r="BX1508" s="8"/>
      <c r="BY1508" s="8"/>
      <c r="BZ1508" s="8"/>
      <c r="CA1508" s="8"/>
      <c r="CB1508" s="8"/>
      <c r="CC1508" s="8"/>
      <c r="CD1508" s="8"/>
      <c r="CE1508" s="8"/>
      <c r="CF1508" s="8"/>
      <c r="CG1508" s="8"/>
      <c r="CH1508" s="8"/>
      <c r="CI1508" s="8"/>
      <c r="CJ1508" s="8"/>
      <c r="CK1508" s="8"/>
      <c r="CL1508" s="8"/>
      <c r="CM1508" s="8"/>
      <c r="CN1508" s="8"/>
      <c r="CO1508" s="8"/>
      <c r="CP1508" s="8"/>
      <c r="CQ1508" s="8"/>
      <c r="CR1508" s="8"/>
      <c r="CS1508" s="8"/>
      <c r="CT1508" s="8"/>
      <c r="CU1508" s="8"/>
      <c r="CV1508" s="8"/>
      <c r="CW1508" s="8"/>
      <c r="CX1508" s="8"/>
      <c r="CY1508" s="8"/>
      <c r="CZ1508" s="8"/>
      <c r="DA1508" s="8"/>
      <c r="DB1508" s="8"/>
      <c r="DC1508" s="8"/>
      <c r="DD1508" s="8"/>
      <c r="DE1508" s="8"/>
      <c r="DF1508" s="8"/>
      <c r="DG1508" s="8"/>
      <c r="DH1508" s="8"/>
      <c r="DI1508" s="8"/>
      <c r="DJ1508" s="8"/>
      <c r="DK1508" s="8"/>
      <c r="DL1508" s="8"/>
      <c r="DM1508" s="8"/>
      <c r="DN1508" s="8"/>
      <c r="DO1508" s="8"/>
      <c r="DP1508" s="8"/>
      <c r="DQ1508" s="8"/>
      <c r="DR1508" s="8"/>
      <c r="DS1508" s="8"/>
      <c r="DT1508" s="8"/>
      <c r="DU1508" s="8"/>
      <c r="DV1508" s="8"/>
      <c r="DW1508" s="8"/>
      <c r="DX1508" s="8"/>
      <c r="DY1508" s="8"/>
      <c r="DZ1508" s="8"/>
      <c r="EA1508" s="8"/>
      <c r="EB1508" s="8"/>
      <c r="EC1508" s="8"/>
      <c r="ED1508" s="8"/>
      <c r="EE1508" s="8"/>
      <c r="EF1508" s="8"/>
      <c r="EG1508" s="8"/>
      <c r="EH1508" s="8"/>
      <c r="EI1508" s="8"/>
      <c r="EJ1508" s="8"/>
      <c r="EK1508" s="8"/>
      <c r="EL1508" s="8"/>
      <c r="EM1508" s="8"/>
      <c r="EN1508" s="8"/>
      <c r="EO1508" s="8"/>
      <c r="EP1508" s="8"/>
      <c r="EQ1508" s="8"/>
      <c r="ER1508" s="8"/>
      <c r="ES1508" s="8"/>
      <c r="ET1508" s="8"/>
      <c r="EU1508" s="8"/>
      <c r="EV1508" s="8"/>
      <c r="EW1508" s="8"/>
      <c r="EX1508" s="8"/>
      <c r="EY1508" s="8"/>
      <c r="EZ1508" s="8"/>
      <c r="FA1508" s="8"/>
      <c r="FB1508" s="8"/>
      <c r="FC1508" s="8"/>
      <c r="FD1508" s="8"/>
      <c r="FE1508" s="8"/>
      <c r="FF1508" s="8"/>
      <c r="FG1508" s="8"/>
      <c r="FH1508" s="8"/>
      <c r="FI1508" s="8"/>
      <c r="FJ1508" s="8"/>
      <c r="FK1508" s="8"/>
      <c r="FL1508" s="8"/>
      <c r="FM1508" s="8"/>
      <c r="FN1508" s="8"/>
      <c r="FO1508" s="8"/>
      <c r="FP1508" s="8"/>
      <c r="FQ1508" s="8"/>
      <c r="FR1508" s="8"/>
      <c r="FS1508" s="8"/>
      <c r="FT1508" s="8"/>
      <c r="FU1508" s="8"/>
      <c r="FV1508" s="8"/>
      <c r="FW1508" s="8"/>
      <c r="FX1508" s="8"/>
      <c r="FY1508" s="8"/>
      <c r="FZ1508" s="8"/>
      <c r="GA1508" s="8"/>
      <c r="GB1508" s="8"/>
      <c r="GC1508" s="8"/>
      <c r="GD1508" s="8"/>
      <c r="GE1508" s="8"/>
      <c r="GF1508" s="8"/>
      <c r="GG1508" s="8"/>
      <c r="GH1508" s="8"/>
      <c r="GI1508" s="8"/>
      <c r="GJ1508" s="8"/>
      <c r="GK1508" s="8"/>
      <c r="GL1508" s="8"/>
      <c r="GM1508" s="8"/>
      <c r="GN1508" s="8"/>
      <c r="GO1508" s="8"/>
      <c r="GP1508" s="8"/>
      <c r="GQ1508" s="8"/>
      <c r="GR1508" s="8"/>
      <c r="GS1508" s="8"/>
      <c r="GT1508" s="8"/>
      <c r="GU1508" s="8"/>
      <c r="GV1508" s="8"/>
      <c r="GW1508" s="8"/>
      <c r="GX1508" s="8"/>
      <c r="GY1508" s="8"/>
      <c r="GZ1508" s="8"/>
      <c r="HA1508" s="8"/>
      <c r="HB1508" s="8"/>
      <c r="HC1508" s="8"/>
      <c r="HD1508" s="8"/>
      <c r="HE1508" s="8"/>
      <c r="HF1508" s="8"/>
      <c r="HG1508" s="8"/>
      <c r="HH1508" s="8"/>
      <c r="HI1508" s="8"/>
      <c r="HJ1508" s="8"/>
      <c r="HK1508" s="8"/>
      <c r="HL1508" s="8"/>
      <c r="HM1508" s="8"/>
      <c r="HN1508" s="8"/>
      <c r="HO1508" s="8"/>
      <c r="HP1508" s="8"/>
      <c r="HQ1508" s="8"/>
      <c r="HR1508" s="8"/>
      <c r="HS1508" s="8"/>
      <c r="HT1508" s="8"/>
      <c r="HU1508" s="8"/>
      <c r="HV1508" s="8"/>
      <c r="HW1508" s="8"/>
      <c r="HX1508" s="8"/>
      <c r="HY1508" s="8"/>
      <c r="HZ1508" s="8"/>
      <c r="IA1508" s="8"/>
      <c r="IB1508" s="8"/>
      <c r="IC1508" s="8"/>
      <c r="ID1508" s="8"/>
      <c r="IE1508" s="8"/>
      <c r="IF1508" s="8"/>
    </row>
    <row r="1509" spans="1:240">
      <c r="A1509" s="14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8"/>
      <c r="AP1509" s="8"/>
      <c r="AQ1509" s="8"/>
      <c r="AR1509" s="8"/>
      <c r="AS1509" s="8"/>
      <c r="AT1509" s="8"/>
      <c r="AU1509" s="8"/>
      <c r="AV1509" s="8"/>
      <c r="AW1509" s="8"/>
      <c r="AX1509" s="8"/>
      <c r="AY1509" s="8"/>
      <c r="AZ1509" s="8"/>
      <c r="BA1509" s="8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/>
      <c r="CK1509" s="8"/>
      <c r="CL1509" s="8"/>
      <c r="CM1509" s="8"/>
      <c r="CN1509" s="8"/>
      <c r="CO1509" s="8"/>
      <c r="CP1509" s="8"/>
      <c r="CQ1509" s="8"/>
      <c r="CR1509" s="8"/>
      <c r="CS1509" s="8"/>
      <c r="CT1509" s="8"/>
      <c r="CU1509" s="8"/>
      <c r="CV1509" s="8"/>
      <c r="CW1509" s="8"/>
      <c r="CX1509" s="8"/>
      <c r="CY1509" s="8"/>
      <c r="CZ1509" s="8"/>
      <c r="DA1509" s="8"/>
      <c r="DB1509" s="8"/>
      <c r="DC1509" s="8"/>
      <c r="DD1509" s="8"/>
      <c r="DE1509" s="8"/>
      <c r="DF1509" s="8"/>
      <c r="DG1509" s="8"/>
      <c r="DH1509" s="8"/>
      <c r="DI1509" s="8"/>
      <c r="DJ1509" s="8"/>
      <c r="DK1509" s="8"/>
      <c r="DL1509" s="8"/>
      <c r="DM1509" s="8"/>
      <c r="DN1509" s="8"/>
      <c r="DO1509" s="8"/>
      <c r="DP1509" s="8"/>
      <c r="DQ1509" s="8"/>
      <c r="DR1509" s="8"/>
      <c r="DS1509" s="8"/>
      <c r="DT1509" s="8"/>
      <c r="DU1509" s="8"/>
      <c r="DV1509" s="8"/>
      <c r="DW1509" s="8"/>
      <c r="DX1509" s="8"/>
      <c r="DY1509" s="8"/>
      <c r="DZ1509" s="8"/>
      <c r="EA1509" s="8"/>
      <c r="EB1509" s="8"/>
      <c r="EC1509" s="8"/>
      <c r="ED1509" s="8"/>
      <c r="EE1509" s="8"/>
      <c r="EF1509" s="8"/>
      <c r="EG1509" s="8"/>
      <c r="EH1509" s="8"/>
      <c r="EI1509" s="8"/>
      <c r="EJ1509" s="8"/>
      <c r="EK1509" s="8"/>
      <c r="EL1509" s="8"/>
      <c r="EM1509" s="8"/>
      <c r="EN1509" s="8"/>
      <c r="EO1509" s="8"/>
      <c r="EP1509" s="8"/>
      <c r="EQ1509" s="8"/>
      <c r="ER1509" s="8"/>
      <c r="ES1509" s="8"/>
      <c r="ET1509" s="8"/>
      <c r="EU1509" s="8"/>
      <c r="EV1509" s="8"/>
      <c r="EW1509" s="8"/>
      <c r="EX1509" s="8"/>
      <c r="EY1509" s="8"/>
      <c r="EZ1509" s="8"/>
      <c r="FA1509" s="8"/>
      <c r="FB1509" s="8"/>
      <c r="FC1509" s="8"/>
      <c r="FD1509" s="8"/>
      <c r="FE1509" s="8"/>
      <c r="FF1509" s="8"/>
      <c r="FG1509" s="8"/>
      <c r="FH1509" s="8"/>
      <c r="FI1509" s="8"/>
      <c r="FJ1509" s="8"/>
      <c r="FK1509" s="8"/>
      <c r="FL1509" s="8"/>
      <c r="FM1509" s="8"/>
      <c r="FN1509" s="8"/>
      <c r="FO1509" s="8"/>
      <c r="FP1509" s="8"/>
      <c r="FQ1509" s="8"/>
      <c r="FR1509" s="8"/>
      <c r="FS1509" s="8"/>
      <c r="FT1509" s="8"/>
      <c r="FU1509" s="8"/>
      <c r="FV1509" s="8"/>
      <c r="FW1509" s="8"/>
      <c r="FX1509" s="8"/>
      <c r="FY1509" s="8"/>
      <c r="FZ1509" s="8"/>
      <c r="GA1509" s="8"/>
      <c r="GB1509" s="8"/>
      <c r="GC1509" s="8"/>
      <c r="GD1509" s="8"/>
      <c r="GE1509" s="8"/>
      <c r="GF1509" s="8"/>
      <c r="GG1509" s="8"/>
      <c r="GH1509" s="8"/>
      <c r="GI1509" s="8"/>
      <c r="GJ1509" s="8"/>
      <c r="GK1509" s="8"/>
      <c r="GL1509" s="8"/>
      <c r="GM1509" s="8"/>
      <c r="GN1509" s="8"/>
      <c r="GO1509" s="8"/>
      <c r="GP1509" s="8"/>
      <c r="GQ1509" s="8"/>
      <c r="GR1509" s="8"/>
      <c r="GS1509" s="8"/>
      <c r="GT1509" s="8"/>
      <c r="GU1509" s="8"/>
      <c r="GV1509" s="8"/>
      <c r="GW1509" s="8"/>
      <c r="GX1509" s="8"/>
      <c r="GY1509" s="8"/>
      <c r="GZ1509" s="8"/>
      <c r="HA1509" s="8"/>
      <c r="HB1509" s="8"/>
      <c r="HC1509" s="8"/>
      <c r="HD1509" s="8"/>
      <c r="HE1509" s="8"/>
      <c r="HF1509" s="8"/>
      <c r="HG1509" s="8"/>
      <c r="HH1509" s="8"/>
      <c r="HI1509" s="8"/>
      <c r="HJ1509" s="8"/>
      <c r="HK1509" s="8"/>
      <c r="HL1509" s="8"/>
      <c r="HM1509" s="8"/>
      <c r="HN1509" s="8"/>
      <c r="HO1509" s="8"/>
      <c r="HP1509" s="8"/>
      <c r="HQ1509" s="8"/>
      <c r="HR1509" s="8"/>
      <c r="HS1509" s="8"/>
      <c r="HT1509" s="8"/>
      <c r="HU1509" s="8"/>
      <c r="HV1509" s="8"/>
      <c r="HW1509" s="8"/>
      <c r="HX1509" s="8"/>
      <c r="HY1509" s="8"/>
      <c r="HZ1509" s="8"/>
      <c r="IA1509" s="8"/>
      <c r="IB1509" s="8"/>
      <c r="IC1509" s="8"/>
      <c r="ID1509" s="8"/>
      <c r="IE1509" s="8"/>
      <c r="IF1509" s="8"/>
    </row>
    <row r="1510" spans="1:240">
      <c r="A1510" s="14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  <c r="AK1510" s="23"/>
      <c r="AL1510" s="23"/>
      <c r="AM1510" s="23"/>
      <c r="AN1510" s="23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/>
      <c r="CA1510" s="8"/>
      <c r="CB1510" s="8"/>
      <c r="CC1510" s="8"/>
      <c r="CD1510" s="8"/>
      <c r="CE1510" s="8"/>
      <c r="CF1510" s="8"/>
      <c r="CG1510" s="8"/>
      <c r="CH1510" s="8"/>
      <c r="CI1510" s="8"/>
      <c r="CJ1510" s="8"/>
      <c r="CK1510" s="8"/>
      <c r="CL1510" s="8"/>
      <c r="CM1510" s="8"/>
      <c r="CN1510" s="8"/>
      <c r="CO1510" s="8"/>
      <c r="CP1510" s="8"/>
      <c r="CQ1510" s="8"/>
      <c r="CR1510" s="8"/>
      <c r="CS1510" s="8"/>
      <c r="CT1510" s="8"/>
      <c r="CU1510" s="8"/>
      <c r="CV1510" s="8"/>
      <c r="CW1510" s="8"/>
      <c r="CX1510" s="8"/>
      <c r="CY1510" s="8"/>
      <c r="CZ1510" s="8"/>
      <c r="DA1510" s="8"/>
      <c r="DB1510" s="8"/>
      <c r="DC1510" s="8"/>
      <c r="DD1510" s="8"/>
      <c r="DE1510" s="8"/>
      <c r="DF1510" s="8"/>
      <c r="DG1510" s="8"/>
      <c r="DH1510" s="8"/>
      <c r="DI1510" s="8"/>
      <c r="DJ1510" s="8"/>
      <c r="DK1510" s="8"/>
      <c r="DL1510" s="8"/>
      <c r="DM1510" s="8"/>
      <c r="DN1510" s="8"/>
      <c r="DO1510" s="8"/>
      <c r="DP1510" s="8"/>
      <c r="DQ1510" s="8"/>
      <c r="DR1510" s="8"/>
      <c r="DS1510" s="8"/>
      <c r="DT1510" s="8"/>
      <c r="DU1510" s="8"/>
      <c r="DV1510" s="8"/>
      <c r="DW1510" s="8"/>
      <c r="DX1510" s="8"/>
      <c r="DY1510" s="8"/>
      <c r="DZ1510" s="8"/>
      <c r="EA1510" s="8"/>
      <c r="EB1510" s="8"/>
      <c r="EC1510" s="8"/>
      <c r="ED1510" s="8"/>
      <c r="EE1510" s="8"/>
      <c r="EF1510" s="8"/>
      <c r="EG1510" s="8"/>
      <c r="EH1510" s="8"/>
      <c r="EI1510" s="8"/>
      <c r="EJ1510" s="8"/>
      <c r="EK1510" s="8"/>
      <c r="EL1510" s="8"/>
      <c r="EM1510" s="8"/>
      <c r="EN1510" s="8"/>
      <c r="EO1510" s="8"/>
      <c r="EP1510" s="8"/>
      <c r="EQ1510" s="8"/>
      <c r="ER1510" s="8"/>
      <c r="ES1510" s="8"/>
      <c r="ET1510" s="8"/>
      <c r="EU1510" s="8"/>
      <c r="EV1510" s="8"/>
      <c r="EW1510" s="8"/>
      <c r="EX1510" s="8"/>
      <c r="EY1510" s="8"/>
      <c r="EZ1510" s="8"/>
      <c r="FA1510" s="8"/>
      <c r="FB1510" s="8"/>
      <c r="FC1510" s="8"/>
      <c r="FD1510" s="8"/>
      <c r="FE1510" s="8"/>
      <c r="FF1510" s="8"/>
      <c r="FG1510" s="8"/>
      <c r="FH1510" s="8"/>
      <c r="FI1510" s="8"/>
      <c r="FJ1510" s="8"/>
      <c r="FK1510" s="8"/>
      <c r="FL1510" s="8"/>
      <c r="FM1510" s="8"/>
      <c r="FN1510" s="8"/>
      <c r="FO1510" s="8"/>
      <c r="FP1510" s="8"/>
      <c r="FQ1510" s="8"/>
      <c r="FR1510" s="8"/>
      <c r="FS1510" s="8"/>
      <c r="FT1510" s="8"/>
      <c r="FU1510" s="8"/>
      <c r="FV1510" s="8"/>
      <c r="FW1510" s="8"/>
      <c r="FX1510" s="8"/>
      <c r="FY1510" s="8"/>
      <c r="FZ1510" s="8"/>
      <c r="GA1510" s="8"/>
      <c r="GB1510" s="8"/>
      <c r="GC1510" s="8"/>
      <c r="GD1510" s="8"/>
      <c r="GE1510" s="8"/>
      <c r="GF1510" s="8"/>
      <c r="GG1510" s="8"/>
      <c r="GH1510" s="8"/>
      <c r="GI1510" s="8"/>
      <c r="GJ1510" s="8"/>
      <c r="GK1510" s="8"/>
      <c r="GL1510" s="8"/>
      <c r="GM1510" s="8"/>
      <c r="GN1510" s="8"/>
      <c r="GO1510" s="8"/>
      <c r="GP1510" s="8"/>
      <c r="GQ1510" s="8"/>
      <c r="GR1510" s="8"/>
      <c r="GS1510" s="8"/>
      <c r="GT1510" s="8"/>
      <c r="GU1510" s="8"/>
      <c r="GV1510" s="8"/>
      <c r="GW1510" s="8"/>
      <c r="GX1510" s="8"/>
      <c r="GY1510" s="8"/>
      <c r="GZ1510" s="8"/>
      <c r="HA1510" s="8"/>
      <c r="HB1510" s="8"/>
      <c r="HC1510" s="8"/>
      <c r="HD1510" s="8"/>
      <c r="HE1510" s="8"/>
      <c r="HF1510" s="8"/>
      <c r="HG1510" s="8"/>
      <c r="HH1510" s="8"/>
      <c r="HI1510" s="8"/>
      <c r="HJ1510" s="8"/>
      <c r="HK1510" s="8"/>
      <c r="HL1510" s="8"/>
      <c r="HM1510" s="8"/>
      <c r="HN1510" s="8"/>
      <c r="HO1510" s="8"/>
      <c r="HP1510" s="8"/>
      <c r="HQ1510" s="8"/>
      <c r="HR1510" s="8"/>
      <c r="HS1510" s="8"/>
      <c r="HT1510" s="8"/>
      <c r="HU1510" s="8"/>
      <c r="HV1510" s="8"/>
      <c r="HW1510" s="8"/>
      <c r="HX1510" s="8"/>
      <c r="HY1510" s="8"/>
      <c r="HZ1510" s="8"/>
      <c r="IA1510" s="8"/>
      <c r="IB1510" s="8"/>
      <c r="IC1510" s="8"/>
      <c r="ID1510" s="8"/>
      <c r="IE1510" s="8"/>
      <c r="IF1510" s="8"/>
    </row>
    <row r="1511" spans="1:240">
      <c r="A1511" s="14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  <c r="AJ1511" s="23"/>
      <c r="AK1511" s="23"/>
      <c r="AL1511" s="23"/>
      <c r="AM1511" s="23"/>
      <c r="AN1511" s="23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/>
      <c r="CA1511" s="8"/>
      <c r="CB1511" s="8"/>
      <c r="CC1511" s="8"/>
      <c r="CD1511" s="8"/>
      <c r="CE1511" s="8"/>
      <c r="CF1511" s="8"/>
      <c r="CG1511" s="8"/>
      <c r="CH1511" s="8"/>
      <c r="CI1511" s="8"/>
      <c r="CJ1511" s="8"/>
      <c r="CK1511" s="8"/>
      <c r="CL1511" s="8"/>
      <c r="CM1511" s="8"/>
      <c r="CN1511" s="8"/>
      <c r="CO1511" s="8"/>
      <c r="CP1511" s="8"/>
      <c r="CQ1511" s="8"/>
      <c r="CR1511" s="8"/>
      <c r="CS1511" s="8"/>
      <c r="CT1511" s="8"/>
      <c r="CU1511" s="8"/>
      <c r="CV1511" s="8"/>
      <c r="CW1511" s="8"/>
      <c r="CX1511" s="8"/>
      <c r="CY1511" s="8"/>
      <c r="CZ1511" s="8"/>
      <c r="DA1511" s="8"/>
      <c r="DB1511" s="8"/>
      <c r="DC1511" s="8"/>
      <c r="DD1511" s="8"/>
      <c r="DE1511" s="8"/>
      <c r="DF1511" s="8"/>
      <c r="DG1511" s="8"/>
      <c r="DH1511" s="8"/>
      <c r="DI1511" s="8"/>
      <c r="DJ1511" s="8"/>
      <c r="DK1511" s="8"/>
      <c r="DL1511" s="8"/>
      <c r="DM1511" s="8"/>
      <c r="DN1511" s="8"/>
      <c r="DO1511" s="8"/>
      <c r="DP1511" s="8"/>
      <c r="DQ1511" s="8"/>
      <c r="DR1511" s="8"/>
      <c r="DS1511" s="8"/>
      <c r="DT1511" s="8"/>
      <c r="DU1511" s="8"/>
      <c r="DV1511" s="8"/>
      <c r="DW1511" s="8"/>
      <c r="DX1511" s="8"/>
      <c r="DY1511" s="8"/>
      <c r="DZ1511" s="8"/>
      <c r="EA1511" s="8"/>
      <c r="EB1511" s="8"/>
      <c r="EC1511" s="8"/>
      <c r="ED1511" s="8"/>
      <c r="EE1511" s="8"/>
      <c r="EF1511" s="8"/>
      <c r="EG1511" s="8"/>
      <c r="EH1511" s="8"/>
      <c r="EI1511" s="8"/>
      <c r="EJ1511" s="8"/>
      <c r="EK1511" s="8"/>
      <c r="EL1511" s="8"/>
      <c r="EM1511" s="8"/>
      <c r="EN1511" s="8"/>
      <c r="EO1511" s="8"/>
      <c r="EP1511" s="8"/>
      <c r="EQ1511" s="8"/>
      <c r="ER1511" s="8"/>
      <c r="ES1511" s="8"/>
      <c r="ET1511" s="8"/>
      <c r="EU1511" s="8"/>
      <c r="EV1511" s="8"/>
      <c r="EW1511" s="8"/>
      <c r="EX1511" s="8"/>
      <c r="EY1511" s="8"/>
      <c r="EZ1511" s="8"/>
      <c r="FA1511" s="8"/>
      <c r="FB1511" s="8"/>
      <c r="FC1511" s="8"/>
      <c r="FD1511" s="8"/>
      <c r="FE1511" s="8"/>
      <c r="FF1511" s="8"/>
      <c r="FG1511" s="8"/>
      <c r="FH1511" s="8"/>
      <c r="FI1511" s="8"/>
      <c r="FJ1511" s="8"/>
      <c r="FK1511" s="8"/>
      <c r="FL1511" s="8"/>
      <c r="FM1511" s="8"/>
      <c r="FN1511" s="8"/>
      <c r="FO1511" s="8"/>
      <c r="FP1511" s="8"/>
      <c r="FQ1511" s="8"/>
      <c r="FR1511" s="8"/>
      <c r="FS1511" s="8"/>
      <c r="FT1511" s="8"/>
      <c r="FU1511" s="8"/>
      <c r="FV1511" s="8"/>
      <c r="FW1511" s="8"/>
      <c r="FX1511" s="8"/>
      <c r="FY1511" s="8"/>
      <c r="FZ1511" s="8"/>
      <c r="GA1511" s="8"/>
      <c r="GB1511" s="8"/>
      <c r="GC1511" s="8"/>
      <c r="GD1511" s="8"/>
      <c r="GE1511" s="8"/>
      <c r="GF1511" s="8"/>
      <c r="GG1511" s="8"/>
      <c r="GH1511" s="8"/>
      <c r="GI1511" s="8"/>
      <c r="GJ1511" s="8"/>
      <c r="GK1511" s="8"/>
      <c r="GL1511" s="8"/>
      <c r="GM1511" s="8"/>
      <c r="GN1511" s="8"/>
      <c r="GO1511" s="8"/>
      <c r="GP1511" s="8"/>
      <c r="GQ1511" s="8"/>
      <c r="GR1511" s="8"/>
      <c r="GS1511" s="8"/>
      <c r="GT1511" s="8"/>
      <c r="GU1511" s="8"/>
      <c r="GV1511" s="8"/>
      <c r="GW1511" s="8"/>
      <c r="GX1511" s="8"/>
      <c r="GY1511" s="8"/>
      <c r="GZ1511" s="8"/>
      <c r="HA1511" s="8"/>
      <c r="HB1511" s="8"/>
      <c r="HC1511" s="8"/>
      <c r="HD1511" s="8"/>
      <c r="HE1511" s="8"/>
      <c r="HF1511" s="8"/>
      <c r="HG1511" s="8"/>
      <c r="HH1511" s="8"/>
      <c r="HI1511" s="8"/>
      <c r="HJ1511" s="8"/>
      <c r="HK1511" s="8"/>
      <c r="HL1511" s="8"/>
      <c r="HM1511" s="8"/>
      <c r="HN1511" s="8"/>
      <c r="HO1511" s="8"/>
      <c r="HP1511" s="8"/>
      <c r="HQ1511" s="8"/>
      <c r="HR1511" s="8"/>
      <c r="HS1511" s="8"/>
      <c r="HT1511" s="8"/>
      <c r="HU1511" s="8"/>
      <c r="HV1511" s="8"/>
      <c r="HW1511" s="8"/>
      <c r="HX1511" s="8"/>
      <c r="HY1511" s="8"/>
      <c r="HZ1511" s="8"/>
      <c r="IA1511" s="8"/>
      <c r="IB1511" s="8"/>
      <c r="IC1511" s="8"/>
      <c r="ID1511" s="8"/>
      <c r="IE1511" s="8"/>
      <c r="IF1511" s="8"/>
    </row>
    <row r="1512" spans="1:240">
      <c r="A1512" s="14"/>
      <c r="B1512" s="23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/>
      <c r="CK1512" s="8"/>
      <c r="CL1512" s="8"/>
      <c r="CM1512" s="8"/>
      <c r="CN1512" s="8"/>
      <c r="CO1512" s="8"/>
      <c r="CP1512" s="8"/>
      <c r="CQ1512" s="8"/>
      <c r="CR1512" s="8"/>
      <c r="CS1512" s="8"/>
      <c r="CT1512" s="8"/>
      <c r="CU1512" s="8"/>
      <c r="CV1512" s="8"/>
      <c r="CW1512" s="8"/>
      <c r="CX1512" s="8"/>
      <c r="CY1512" s="8"/>
      <c r="CZ1512" s="8"/>
      <c r="DA1512" s="8"/>
      <c r="DB1512" s="8"/>
      <c r="DC1512" s="8"/>
      <c r="DD1512" s="8"/>
      <c r="DE1512" s="8"/>
      <c r="DF1512" s="8"/>
      <c r="DG1512" s="8"/>
      <c r="DH1512" s="8"/>
      <c r="DI1512" s="8"/>
      <c r="DJ1512" s="8"/>
      <c r="DK1512" s="8"/>
      <c r="DL1512" s="8"/>
      <c r="DM1512" s="8"/>
      <c r="DN1512" s="8"/>
      <c r="DO1512" s="8"/>
      <c r="DP1512" s="8"/>
      <c r="DQ1512" s="8"/>
      <c r="DR1512" s="8"/>
      <c r="DS1512" s="8"/>
      <c r="DT1512" s="8"/>
      <c r="DU1512" s="8"/>
      <c r="DV1512" s="8"/>
      <c r="DW1512" s="8"/>
      <c r="DX1512" s="8"/>
      <c r="DY1512" s="8"/>
      <c r="DZ1512" s="8"/>
      <c r="EA1512" s="8"/>
      <c r="EB1512" s="8"/>
      <c r="EC1512" s="8"/>
      <c r="ED1512" s="8"/>
      <c r="EE1512" s="8"/>
      <c r="EF1512" s="8"/>
      <c r="EG1512" s="8"/>
      <c r="EH1512" s="8"/>
      <c r="EI1512" s="8"/>
      <c r="EJ1512" s="8"/>
      <c r="EK1512" s="8"/>
      <c r="EL1512" s="8"/>
      <c r="EM1512" s="8"/>
      <c r="EN1512" s="8"/>
      <c r="EO1512" s="8"/>
      <c r="EP1512" s="8"/>
      <c r="EQ1512" s="8"/>
      <c r="ER1512" s="8"/>
      <c r="ES1512" s="8"/>
      <c r="ET1512" s="8"/>
      <c r="EU1512" s="8"/>
      <c r="EV1512" s="8"/>
      <c r="EW1512" s="8"/>
      <c r="EX1512" s="8"/>
      <c r="EY1512" s="8"/>
      <c r="EZ1512" s="8"/>
      <c r="FA1512" s="8"/>
      <c r="FB1512" s="8"/>
      <c r="FC1512" s="8"/>
      <c r="FD1512" s="8"/>
      <c r="FE1512" s="8"/>
      <c r="FF1512" s="8"/>
      <c r="FG1512" s="8"/>
      <c r="FH1512" s="8"/>
      <c r="FI1512" s="8"/>
      <c r="FJ1512" s="8"/>
      <c r="FK1512" s="8"/>
      <c r="FL1512" s="8"/>
      <c r="FM1512" s="8"/>
      <c r="FN1512" s="8"/>
      <c r="FO1512" s="8"/>
      <c r="FP1512" s="8"/>
      <c r="FQ1512" s="8"/>
      <c r="FR1512" s="8"/>
      <c r="FS1512" s="8"/>
      <c r="FT1512" s="8"/>
      <c r="FU1512" s="8"/>
      <c r="FV1512" s="8"/>
      <c r="FW1512" s="8"/>
      <c r="FX1512" s="8"/>
      <c r="FY1512" s="8"/>
      <c r="FZ1512" s="8"/>
      <c r="GA1512" s="8"/>
      <c r="GB1512" s="8"/>
      <c r="GC1512" s="8"/>
      <c r="GD1512" s="8"/>
      <c r="GE1512" s="8"/>
      <c r="GF1512" s="8"/>
      <c r="GG1512" s="8"/>
      <c r="GH1512" s="8"/>
      <c r="GI1512" s="8"/>
      <c r="GJ1512" s="8"/>
      <c r="GK1512" s="8"/>
      <c r="GL1512" s="8"/>
      <c r="GM1512" s="8"/>
      <c r="GN1512" s="8"/>
      <c r="GO1512" s="8"/>
      <c r="GP1512" s="8"/>
      <c r="GQ1512" s="8"/>
      <c r="GR1512" s="8"/>
      <c r="GS1512" s="8"/>
      <c r="GT1512" s="8"/>
      <c r="GU1512" s="8"/>
      <c r="GV1512" s="8"/>
      <c r="GW1512" s="8"/>
      <c r="GX1512" s="8"/>
      <c r="GY1512" s="8"/>
      <c r="GZ1512" s="8"/>
      <c r="HA1512" s="8"/>
      <c r="HB1512" s="8"/>
      <c r="HC1512" s="8"/>
      <c r="HD1512" s="8"/>
      <c r="HE1512" s="8"/>
      <c r="HF1512" s="8"/>
      <c r="HG1512" s="8"/>
      <c r="HH1512" s="8"/>
      <c r="HI1512" s="8"/>
      <c r="HJ1512" s="8"/>
      <c r="HK1512" s="8"/>
      <c r="HL1512" s="8"/>
      <c r="HM1512" s="8"/>
      <c r="HN1512" s="8"/>
      <c r="HO1512" s="8"/>
      <c r="HP1512" s="8"/>
      <c r="HQ1512" s="8"/>
      <c r="HR1512" s="8"/>
      <c r="HS1512" s="8"/>
      <c r="HT1512" s="8"/>
      <c r="HU1512" s="8"/>
      <c r="HV1512" s="8"/>
      <c r="HW1512" s="8"/>
      <c r="HX1512" s="8"/>
      <c r="HY1512" s="8"/>
      <c r="HZ1512" s="8"/>
      <c r="IA1512" s="8"/>
      <c r="IB1512" s="8"/>
      <c r="IC1512" s="8"/>
      <c r="ID1512" s="8"/>
      <c r="IE1512" s="8"/>
      <c r="IF1512" s="8"/>
    </row>
    <row r="1513" spans="1:240">
      <c r="A1513" s="14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3"/>
      <c r="AB1513" s="23"/>
      <c r="AC1513" s="23"/>
      <c r="AD1513" s="23"/>
      <c r="AE1513" s="23"/>
      <c r="AF1513" s="23"/>
      <c r="AG1513" s="23"/>
      <c r="AH1513" s="23"/>
      <c r="AI1513" s="23"/>
      <c r="AJ1513" s="23"/>
      <c r="AK1513" s="23"/>
      <c r="AL1513" s="23"/>
      <c r="AM1513" s="23"/>
      <c r="AN1513" s="23"/>
      <c r="AO1513" s="8"/>
      <c r="AP1513" s="8"/>
      <c r="AQ1513" s="8"/>
      <c r="AR1513" s="8"/>
      <c r="AS1513" s="8"/>
      <c r="AT1513" s="8"/>
      <c r="AU1513" s="8"/>
      <c r="AV1513" s="8"/>
      <c r="AW1513" s="8"/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8"/>
      <c r="BS1513" s="8"/>
      <c r="BT1513" s="8"/>
      <c r="BU1513" s="8"/>
      <c r="BV1513" s="8"/>
      <c r="BW1513" s="8"/>
      <c r="BX1513" s="8"/>
      <c r="BY1513" s="8"/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/>
      <c r="CK1513" s="8"/>
      <c r="CL1513" s="8"/>
      <c r="CM1513" s="8"/>
      <c r="CN1513" s="8"/>
      <c r="CO1513" s="8"/>
      <c r="CP1513" s="8"/>
      <c r="CQ1513" s="8"/>
      <c r="CR1513" s="8"/>
      <c r="CS1513" s="8"/>
      <c r="CT1513" s="8"/>
      <c r="CU1513" s="8"/>
      <c r="CV1513" s="8"/>
      <c r="CW1513" s="8"/>
      <c r="CX1513" s="8"/>
      <c r="CY1513" s="8"/>
      <c r="CZ1513" s="8"/>
      <c r="DA1513" s="8"/>
      <c r="DB1513" s="8"/>
      <c r="DC1513" s="8"/>
      <c r="DD1513" s="8"/>
      <c r="DE1513" s="8"/>
      <c r="DF1513" s="8"/>
      <c r="DG1513" s="8"/>
      <c r="DH1513" s="8"/>
      <c r="DI1513" s="8"/>
      <c r="DJ1513" s="8"/>
      <c r="DK1513" s="8"/>
      <c r="DL1513" s="8"/>
      <c r="DM1513" s="8"/>
      <c r="DN1513" s="8"/>
      <c r="DO1513" s="8"/>
      <c r="DP1513" s="8"/>
      <c r="DQ1513" s="8"/>
      <c r="DR1513" s="8"/>
      <c r="DS1513" s="8"/>
      <c r="DT1513" s="8"/>
      <c r="DU1513" s="8"/>
      <c r="DV1513" s="8"/>
      <c r="DW1513" s="8"/>
      <c r="DX1513" s="8"/>
      <c r="DY1513" s="8"/>
      <c r="DZ1513" s="8"/>
      <c r="EA1513" s="8"/>
      <c r="EB1513" s="8"/>
      <c r="EC1513" s="8"/>
      <c r="ED1513" s="8"/>
      <c r="EE1513" s="8"/>
      <c r="EF1513" s="8"/>
      <c r="EG1513" s="8"/>
      <c r="EH1513" s="8"/>
      <c r="EI1513" s="8"/>
      <c r="EJ1513" s="8"/>
      <c r="EK1513" s="8"/>
      <c r="EL1513" s="8"/>
      <c r="EM1513" s="8"/>
      <c r="EN1513" s="8"/>
      <c r="EO1513" s="8"/>
      <c r="EP1513" s="8"/>
      <c r="EQ1513" s="8"/>
      <c r="ER1513" s="8"/>
      <c r="ES1513" s="8"/>
      <c r="ET1513" s="8"/>
      <c r="EU1513" s="8"/>
      <c r="EV1513" s="8"/>
      <c r="EW1513" s="8"/>
      <c r="EX1513" s="8"/>
      <c r="EY1513" s="8"/>
      <c r="EZ1513" s="8"/>
      <c r="FA1513" s="8"/>
      <c r="FB1513" s="8"/>
      <c r="FC1513" s="8"/>
      <c r="FD1513" s="8"/>
      <c r="FE1513" s="8"/>
      <c r="FF1513" s="8"/>
      <c r="FG1513" s="8"/>
      <c r="FH1513" s="8"/>
      <c r="FI1513" s="8"/>
      <c r="FJ1513" s="8"/>
      <c r="FK1513" s="8"/>
      <c r="FL1513" s="8"/>
      <c r="FM1513" s="8"/>
      <c r="FN1513" s="8"/>
      <c r="FO1513" s="8"/>
      <c r="FP1513" s="8"/>
      <c r="FQ1513" s="8"/>
      <c r="FR1513" s="8"/>
      <c r="FS1513" s="8"/>
      <c r="FT1513" s="8"/>
      <c r="FU1513" s="8"/>
      <c r="FV1513" s="8"/>
      <c r="FW1513" s="8"/>
      <c r="FX1513" s="8"/>
      <c r="FY1513" s="8"/>
      <c r="FZ1513" s="8"/>
      <c r="GA1513" s="8"/>
      <c r="GB1513" s="8"/>
      <c r="GC1513" s="8"/>
      <c r="GD1513" s="8"/>
      <c r="GE1513" s="8"/>
      <c r="GF1513" s="8"/>
      <c r="GG1513" s="8"/>
      <c r="GH1513" s="8"/>
      <c r="GI1513" s="8"/>
      <c r="GJ1513" s="8"/>
      <c r="GK1513" s="8"/>
      <c r="GL1513" s="8"/>
      <c r="GM1513" s="8"/>
      <c r="GN1513" s="8"/>
      <c r="GO1513" s="8"/>
      <c r="GP1513" s="8"/>
      <c r="GQ1513" s="8"/>
      <c r="GR1513" s="8"/>
      <c r="GS1513" s="8"/>
      <c r="GT1513" s="8"/>
      <c r="GU1513" s="8"/>
      <c r="GV1513" s="8"/>
      <c r="GW1513" s="8"/>
      <c r="GX1513" s="8"/>
      <c r="GY1513" s="8"/>
      <c r="GZ1513" s="8"/>
      <c r="HA1513" s="8"/>
      <c r="HB1513" s="8"/>
      <c r="HC1513" s="8"/>
      <c r="HD1513" s="8"/>
      <c r="HE1513" s="8"/>
      <c r="HF1513" s="8"/>
      <c r="HG1513" s="8"/>
      <c r="HH1513" s="8"/>
      <c r="HI1513" s="8"/>
      <c r="HJ1513" s="8"/>
      <c r="HK1513" s="8"/>
      <c r="HL1513" s="8"/>
      <c r="HM1513" s="8"/>
      <c r="HN1513" s="8"/>
      <c r="HO1513" s="8"/>
      <c r="HP1513" s="8"/>
      <c r="HQ1513" s="8"/>
      <c r="HR1513" s="8"/>
      <c r="HS1513" s="8"/>
      <c r="HT1513" s="8"/>
      <c r="HU1513" s="8"/>
      <c r="HV1513" s="8"/>
      <c r="HW1513" s="8"/>
      <c r="HX1513" s="8"/>
      <c r="HY1513" s="8"/>
      <c r="HZ1513" s="8"/>
      <c r="IA1513" s="8"/>
      <c r="IB1513" s="8"/>
      <c r="IC1513" s="8"/>
      <c r="ID1513" s="8"/>
      <c r="IE1513" s="8"/>
      <c r="IF1513" s="8"/>
    </row>
    <row r="1514" spans="1:240">
      <c r="A1514" s="14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3"/>
      <c r="AB1514" s="23"/>
      <c r="AC1514" s="23"/>
      <c r="AD1514" s="23"/>
      <c r="AE1514" s="23"/>
      <c r="AF1514" s="23"/>
      <c r="AG1514" s="23"/>
      <c r="AH1514" s="23"/>
      <c r="AI1514" s="23"/>
      <c r="AJ1514" s="23"/>
      <c r="AK1514" s="23"/>
      <c r="AL1514" s="23"/>
      <c r="AM1514" s="23"/>
      <c r="AN1514" s="23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/>
      <c r="CA1514" s="8"/>
      <c r="CB1514" s="8"/>
      <c r="CC1514" s="8"/>
      <c r="CD1514" s="8"/>
      <c r="CE1514" s="8"/>
      <c r="CF1514" s="8"/>
      <c r="CG1514" s="8"/>
      <c r="CH1514" s="8"/>
      <c r="CI1514" s="8"/>
      <c r="CJ1514" s="8"/>
      <c r="CK1514" s="8"/>
      <c r="CL1514" s="8"/>
      <c r="CM1514" s="8"/>
      <c r="CN1514" s="8"/>
      <c r="CO1514" s="8"/>
      <c r="CP1514" s="8"/>
      <c r="CQ1514" s="8"/>
      <c r="CR1514" s="8"/>
      <c r="CS1514" s="8"/>
      <c r="CT1514" s="8"/>
      <c r="CU1514" s="8"/>
      <c r="CV1514" s="8"/>
      <c r="CW1514" s="8"/>
      <c r="CX1514" s="8"/>
      <c r="CY1514" s="8"/>
      <c r="CZ1514" s="8"/>
      <c r="DA1514" s="8"/>
      <c r="DB1514" s="8"/>
      <c r="DC1514" s="8"/>
      <c r="DD1514" s="8"/>
      <c r="DE1514" s="8"/>
      <c r="DF1514" s="8"/>
      <c r="DG1514" s="8"/>
      <c r="DH1514" s="8"/>
      <c r="DI1514" s="8"/>
      <c r="DJ1514" s="8"/>
      <c r="DK1514" s="8"/>
      <c r="DL1514" s="8"/>
      <c r="DM1514" s="8"/>
      <c r="DN1514" s="8"/>
      <c r="DO1514" s="8"/>
      <c r="DP1514" s="8"/>
      <c r="DQ1514" s="8"/>
      <c r="DR1514" s="8"/>
      <c r="DS1514" s="8"/>
      <c r="DT1514" s="8"/>
      <c r="DU1514" s="8"/>
      <c r="DV1514" s="8"/>
      <c r="DW1514" s="8"/>
      <c r="DX1514" s="8"/>
      <c r="DY1514" s="8"/>
      <c r="DZ1514" s="8"/>
      <c r="EA1514" s="8"/>
      <c r="EB1514" s="8"/>
      <c r="EC1514" s="8"/>
      <c r="ED1514" s="8"/>
      <c r="EE1514" s="8"/>
      <c r="EF1514" s="8"/>
      <c r="EG1514" s="8"/>
      <c r="EH1514" s="8"/>
      <c r="EI1514" s="8"/>
      <c r="EJ1514" s="8"/>
      <c r="EK1514" s="8"/>
      <c r="EL1514" s="8"/>
      <c r="EM1514" s="8"/>
      <c r="EN1514" s="8"/>
      <c r="EO1514" s="8"/>
      <c r="EP1514" s="8"/>
      <c r="EQ1514" s="8"/>
      <c r="ER1514" s="8"/>
      <c r="ES1514" s="8"/>
      <c r="ET1514" s="8"/>
      <c r="EU1514" s="8"/>
      <c r="EV1514" s="8"/>
      <c r="EW1514" s="8"/>
      <c r="EX1514" s="8"/>
      <c r="EY1514" s="8"/>
      <c r="EZ1514" s="8"/>
      <c r="FA1514" s="8"/>
      <c r="FB1514" s="8"/>
      <c r="FC1514" s="8"/>
      <c r="FD1514" s="8"/>
      <c r="FE1514" s="8"/>
      <c r="FF1514" s="8"/>
      <c r="FG1514" s="8"/>
      <c r="FH1514" s="8"/>
      <c r="FI1514" s="8"/>
      <c r="FJ1514" s="8"/>
      <c r="FK1514" s="8"/>
      <c r="FL1514" s="8"/>
      <c r="FM1514" s="8"/>
      <c r="FN1514" s="8"/>
      <c r="FO1514" s="8"/>
      <c r="FP1514" s="8"/>
      <c r="FQ1514" s="8"/>
      <c r="FR1514" s="8"/>
      <c r="FS1514" s="8"/>
      <c r="FT1514" s="8"/>
      <c r="FU1514" s="8"/>
      <c r="FV1514" s="8"/>
      <c r="FW1514" s="8"/>
      <c r="FX1514" s="8"/>
      <c r="FY1514" s="8"/>
      <c r="FZ1514" s="8"/>
      <c r="GA1514" s="8"/>
      <c r="GB1514" s="8"/>
      <c r="GC1514" s="8"/>
      <c r="GD1514" s="8"/>
      <c r="GE1514" s="8"/>
      <c r="GF1514" s="8"/>
      <c r="GG1514" s="8"/>
      <c r="GH1514" s="8"/>
      <c r="GI1514" s="8"/>
      <c r="GJ1514" s="8"/>
      <c r="GK1514" s="8"/>
      <c r="GL1514" s="8"/>
      <c r="GM1514" s="8"/>
      <c r="GN1514" s="8"/>
      <c r="GO1514" s="8"/>
      <c r="GP1514" s="8"/>
      <c r="GQ1514" s="8"/>
      <c r="GR1514" s="8"/>
      <c r="GS1514" s="8"/>
      <c r="GT1514" s="8"/>
      <c r="GU1514" s="8"/>
      <c r="GV1514" s="8"/>
      <c r="GW1514" s="8"/>
      <c r="GX1514" s="8"/>
      <c r="GY1514" s="8"/>
      <c r="GZ1514" s="8"/>
      <c r="HA1514" s="8"/>
      <c r="HB1514" s="8"/>
      <c r="HC1514" s="8"/>
      <c r="HD1514" s="8"/>
      <c r="HE1514" s="8"/>
      <c r="HF1514" s="8"/>
      <c r="HG1514" s="8"/>
      <c r="HH1514" s="8"/>
      <c r="HI1514" s="8"/>
      <c r="HJ1514" s="8"/>
      <c r="HK1514" s="8"/>
      <c r="HL1514" s="8"/>
      <c r="HM1514" s="8"/>
      <c r="HN1514" s="8"/>
      <c r="HO1514" s="8"/>
      <c r="HP1514" s="8"/>
      <c r="HQ1514" s="8"/>
      <c r="HR1514" s="8"/>
      <c r="HS1514" s="8"/>
      <c r="HT1514" s="8"/>
      <c r="HU1514" s="8"/>
      <c r="HV1514" s="8"/>
      <c r="HW1514" s="8"/>
      <c r="HX1514" s="8"/>
      <c r="HY1514" s="8"/>
      <c r="HZ1514" s="8"/>
      <c r="IA1514" s="8"/>
      <c r="IB1514" s="8"/>
      <c r="IC1514" s="8"/>
      <c r="ID1514" s="8"/>
      <c r="IE1514" s="8"/>
      <c r="IF1514" s="8"/>
    </row>
    <row r="1515" spans="1:240">
      <c r="A1515" s="14"/>
      <c r="B1515" s="23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3"/>
      <c r="AB1515" s="23"/>
      <c r="AC1515" s="23"/>
      <c r="AD1515" s="23"/>
      <c r="AE1515" s="23"/>
      <c r="AF1515" s="23"/>
      <c r="AG1515" s="23"/>
      <c r="AH1515" s="23"/>
      <c r="AI1515" s="23"/>
      <c r="AJ1515" s="23"/>
      <c r="AK1515" s="23"/>
      <c r="AL1515" s="23"/>
      <c r="AM1515" s="23"/>
      <c r="AN1515" s="23"/>
      <c r="AO1515" s="8"/>
      <c r="AP1515" s="8"/>
      <c r="AQ1515" s="8"/>
      <c r="AR1515" s="8"/>
      <c r="AS1515" s="8"/>
      <c r="AT1515" s="8"/>
      <c r="AU1515" s="8"/>
      <c r="AV1515" s="8"/>
      <c r="AW1515" s="8"/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/>
      <c r="CA1515" s="8"/>
      <c r="CB1515" s="8"/>
      <c r="CC1515" s="8"/>
      <c r="CD1515" s="8"/>
      <c r="CE1515" s="8"/>
      <c r="CF1515" s="8"/>
      <c r="CG1515" s="8"/>
      <c r="CH1515" s="8"/>
      <c r="CI1515" s="8"/>
      <c r="CJ1515" s="8"/>
      <c r="CK1515" s="8"/>
      <c r="CL1515" s="8"/>
      <c r="CM1515" s="8"/>
      <c r="CN1515" s="8"/>
      <c r="CO1515" s="8"/>
      <c r="CP1515" s="8"/>
      <c r="CQ1515" s="8"/>
      <c r="CR1515" s="8"/>
      <c r="CS1515" s="8"/>
      <c r="CT1515" s="8"/>
      <c r="CU1515" s="8"/>
      <c r="CV1515" s="8"/>
      <c r="CW1515" s="8"/>
      <c r="CX1515" s="8"/>
      <c r="CY1515" s="8"/>
      <c r="CZ1515" s="8"/>
      <c r="DA1515" s="8"/>
      <c r="DB1515" s="8"/>
      <c r="DC1515" s="8"/>
      <c r="DD1515" s="8"/>
      <c r="DE1515" s="8"/>
      <c r="DF1515" s="8"/>
      <c r="DG1515" s="8"/>
      <c r="DH1515" s="8"/>
      <c r="DI1515" s="8"/>
      <c r="DJ1515" s="8"/>
      <c r="DK1515" s="8"/>
      <c r="DL1515" s="8"/>
      <c r="DM1515" s="8"/>
      <c r="DN1515" s="8"/>
      <c r="DO1515" s="8"/>
      <c r="DP1515" s="8"/>
      <c r="DQ1515" s="8"/>
      <c r="DR1515" s="8"/>
      <c r="DS1515" s="8"/>
      <c r="DT1515" s="8"/>
      <c r="DU1515" s="8"/>
      <c r="DV1515" s="8"/>
      <c r="DW1515" s="8"/>
      <c r="DX1515" s="8"/>
      <c r="DY1515" s="8"/>
      <c r="DZ1515" s="8"/>
      <c r="EA1515" s="8"/>
      <c r="EB1515" s="8"/>
      <c r="EC1515" s="8"/>
      <c r="ED1515" s="8"/>
      <c r="EE1515" s="8"/>
      <c r="EF1515" s="8"/>
      <c r="EG1515" s="8"/>
      <c r="EH1515" s="8"/>
      <c r="EI1515" s="8"/>
      <c r="EJ1515" s="8"/>
      <c r="EK1515" s="8"/>
      <c r="EL1515" s="8"/>
      <c r="EM1515" s="8"/>
      <c r="EN1515" s="8"/>
      <c r="EO1515" s="8"/>
      <c r="EP1515" s="8"/>
      <c r="EQ1515" s="8"/>
      <c r="ER1515" s="8"/>
      <c r="ES1515" s="8"/>
      <c r="ET1515" s="8"/>
      <c r="EU1515" s="8"/>
      <c r="EV1515" s="8"/>
      <c r="EW1515" s="8"/>
      <c r="EX1515" s="8"/>
      <c r="EY1515" s="8"/>
      <c r="EZ1515" s="8"/>
      <c r="FA1515" s="8"/>
      <c r="FB1515" s="8"/>
      <c r="FC1515" s="8"/>
      <c r="FD1515" s="8"/>
      <c r="FE1515" s="8"/>
      <c r="FF1515" s="8"/>
      <c r="FG1515" s="8"/>
      <c r="FH1515" s="8"/>
      <c r="FI1515" s="8"/>
      <c r="FJ1515" s="8"/>
      <c r="FK1515" s="8"/>
      <c r="FL1515" s="8"/>
      <c r="FM1515" s="8"/>
      <c r="FN1515" s="8"/>
      <c r="FO1515" s="8"/>
      <c r="FP1515" s="8"/>
      <c r="FQ1515" s="8"/>
      <c r="FR1515" s="8"/>
      <c r="FS1515" s="8"/>
      <c r="FT1515" s="8"/>
      <c r="FU1515" s="8"/>
      <c r="FV1515" s="8"/>
      <c r="FW1515" s="8"/>
      <c r="FX1515" s="8"/>
      <c r="FY1515" s="8"/>
      <c r="FZ1515" s="8"/>
      <c r="GA1515" s="8"/>
      <c r="GB1515" s="8"/>
      <c r="GC1515" s="8"/>
      <c r="GD1515" s="8"/>
      <c r="GE1515" s="8"/>
      <c r="GF1515" s="8"/>
      <c r="GG1515" s="8"/>
      <c r="GH1515" s="8"/>
      <c r="GI1515" s="8"/>
      <c r="GJ1515" s="8"/>
      <c r="GK1515" s="8"/>
      <c r="GL1515" s="8"/>
      <c r="GM1515" s="8"/>
      <c r="GN1515" s="8"/>
      <c r="GO1515" s="8"/>
      <c r="GP1515" s="8"/>
      <c r="GQ1515" s="8"/>
      <c r="GR1515" s="8"/>
      <c r="GS1515" s="8"/>
      <c r="GT1515" s="8"/>
      <c r="GU1515" s="8"/>
      <c r="GV1515" s="8"/>
      <c r="GW1515" s="8"/>
      <c r="GX1515" s="8"/>
      <c r="GY1515" s="8"/>
      <c r="GZ1515" s="8"/>
      <c r="HA1515" s="8"/>
      <c r="HB1515" s="8"/>
      <c r="HC1515" s="8"/>
      <c r="HD1515" s="8"/>
      <c r="HE1515" s="8"/>
      <c r="HF1515" s="8"/>
      <c r="HG1515" s="8"/>
      <c r="HH1515" s="8"/>
      <c r="HI1515" s="8"/>
      <c r="HJ1515" s="8"/>
      <c r="HK1515" s="8"/>
      <c r="HL1515" s="8"/>
      <c r="HM1515" s="8"/>
      <c r="HN1515" s="8"/>
      <c r="HO1515" s="8"/>
      <c r="HP1515" s="8"/>
      <c r="HQ1515" s="8"/>
      <c r="HR1515" s="8"/>
      <c r="HS1515" s="8"/>
      <c r="HT1515" s="8"/>
      <c r="HU1515" s="8"/>
      <c r="HV1515" s="8"/>
      <c r="HW1515" s="8"/>
      <c r="HX1515" s="8"/>
      <c r="HY1515" s="8"/>
      <c r="HZ1515" s="8"/>
      <c r="IA1515" s="8"/>
      <c r="IB1515" s="8"/>
      <c r="IC1515" s="8"/>
      <c r="ID1515" s="8"/>
      <c r="IE1515" s="8"/>
      <c r="IF1515" s="8"/>
    </row>
    <row r="1516" spans="1:240">
      <c r="A1516" s="14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  <c r="AC1516" s="23"/>
      <c r="AD1516" s="23"/>
      <c r="AE1516" s="23"/>
      <c r="AF1516" s="23"/>
      <c r="AG1516" s="23"/>
      <c r="AH1516" s="23"/>
      <c r="AI1516" s="23"/>
      <c r="AJ1516" s="23"/>
      <c r="AK1516" s="23"/>
      <c r="AL1516" s="23"/>
      <c r="AM1516" s="23"/>
      <c r="AN1516" s="23"/>
      <c r="AO1516" s="8"/>
      <c r="AP1516" s="8"/>
      <c r="AQ1516" s="8"/>
      <c r="AR1516" s="8"/>
      <c r="AS1516" s="8"/>
      <c r="AT1516" s="8"/>
      <c r="AU1516" s="8"/>
      <c r="AV1516" s="8"/>
      <c r="AW1516" s="8"/>
      <c r="AX1516" s="8"/>
      <c r="AY1516" s="8"/>
      <c r="AZ1516" s="8"/>
      <c r="BA1516" s="8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/>
      <c r="CK1516" s="8"/>
      <c r="CL1516" s="8"/>
      <c r="CM1516" s="8"/>
      <c r="CN1516" s="8"/>
      <c r="CO1516" s="8"/>
      <c r="CP1516" s="8"/>
      <c r="CQ1516" s="8"/>
      <c r="CR1516" s="8"/>
      <c r="CS1516" s="8"/>
      <c r="CT1516" s="8"/>
      <c r="CU1516" s="8"/>
      <c r="CV1516" s="8"/>
      <c r="CW1516" s="8"/>
      <c r="CX1516" s="8"/>
      <c r="CY1516" s="8"/>
      <c r="CZ1516" s="8"/>
      <c r="DA1516" s="8"/>
      <c r="DB1516" s="8"/>
      <c r="DC1516" s="8"/>
      <c r="DD1516" s="8"/>
      <c r="DE1516" s="8"/>
      <c r="DF1516" s="8"/>
      <c r="DG1516" s="8"/>
      <c r="DH1516" s="8"/>
      <c r="DI1516" s="8"/>
      <c r="DJ1516" s="8"/>
      <c r="DK1516" s="8"/>
      <c r="DL1516" s="8"/>
      <c r="DM1516" s="8"/>
      <c r="DN1516" s="8"/>
      <c r="DO1516" s="8"/>
      <c r="DP1516" s="8"/>
      <c r="DQ1516" s="8"/>
      <c r="DR1516" s="8"/>
      <c r="DS1516" s="8"/>
      <c r="DT1516" s="8"/>
      <c r="DU1516" s="8"/>
      <c r="DV1516" s="8"/>
      <c r="DW1516" s="8"/>
      <c r="DX1516" s="8"/>
      <c r="DY1516" s="8"/>
      <c r="DZ1516" s="8"/>
      <c r="EA1516" s="8"/>
      <c r="EB1516" s="8"/>
      <c r="EC1516" s="8"/>
      <c r="ED1516" s="8"/>
      <c r="EE1516" s="8"/>
      <c r="EF1516" s="8"/>
      <c r="EG1516" s="8"/>
      <c r="EH1516" s="8"/>
      <c r="EI1516" s="8"/>
      <c r="EJ1516" s="8"/>
      <c r="EK1516" s="8"/>
      <c r="EL1516" s="8"/>
      <c r="EM1516" s="8"/>
      <c r="EN1516" s="8"/>
      <c r="EO1516" s="8"/>
      <c r="EP1516" s="8"/>
      <c r="EQ1516" s="8"/>
      <c r="ER1516" s="8"/>
      <c r="ES1516" s="8"/>
      <c r="ET1516" s="8"/>
      <c r="EU1516" s="8"/>
      <c r="EV1516" s="8"/>
      <c r="EW1516" s="8"/>
      <c r="EX1516" s="8"/>
      <c r="EY1516" s="8"/>
      <c r="EZ1516" s="8"/>
      <c r="FA1516" s="8"/>
      <c r="FB1516" s="8"/>
      <c r="FC1516" s="8"/>
      <c r="FD1516" s="8"/>
      <c r="FE1516" s="8"/>
      <c r="FF1516" s="8"/>
      <c r="FG1516" s="8"/>
      <c r="FH1516" s="8"/>
      <c r="FI1516" s="8"/>
      <c r="FJ1516" s="8"/>
      <c r="FK1516" s="8"/>
      <c r="FL1516" s="8"/>
      <c r="FM1516" s="8"/>
      <c r="FN1516" s="8"/>
      <c r="FO1516" s="8"/>
      <c r="FP1516" s="8"/>
      <c r="FQ1516" s="8"/>
      <c r="FR1516" s="8"/>
      <c r="FS1516" s="8"/>
      <c r="FT1516" s="8"/>
      <c r="FU1516" s="8"/>
      <c r="FV1516" s="8"/>
      <c r="FW1516" s="8"/>
      <c r="FX1516" s="8"/>
      <c r="FY1516" s="8"/>
      <c r="FZ1516" s="8"/>
      <c r="GA1516" s="8"/>
      <c r="GB1516" s="8"/>
      <c r="GC1516" s="8"/>
      <c r="GD1516" s="8"/>
      <c r="GE1516" s="8"/>
      <c r="GF1516" s="8"/>
      <c r="GG1516" s="8"/>
      <c r="GH1516" s="8"/>
      <c r="GI1516" s="8"/>
      <c r="GJ1516" s="8"/>
      <c r="GK1516" s="8"/>
      <c r="GL1516" s="8"/>
      <c r="GM1516" s="8"/>
      <c r="GN1516" s="8"/>
      <c r="GO1516" s="8"/>
      <c r="GP1516" s="8"/>
      <c r="GQ1516" s="8"/>
      <c r="GR1516" s="8"/>
      <c r="GS1516" s="8"/>
      <c r="GT1516" s="8"/>
      <c r="GU1516" s="8"/>
      <c r="GV1516" s="8"/>
      <c r="GW1516" s="8"/>
      <c r="GX1516" s="8"/>
      <c r="GY1516" s="8"/>
      <c r="GZ1516" s="8"/>
      <c r="HA1516" s="8"/>
      <c r="HB1516" s="8"/>
      <c r="HC1516" s="8"/>
      <c r="HD1516" s="8"/>
      <c r="HE1516" s="8"/>
      <c r="HF1516" s="8"/>
      <c r="HG1516" s="8"/>
      <c r="HH1516" s="8"/>
      <c r="HI1516" s="8"/>
      <c r="HJ1516" s="8"/>
      <c r="HK1516" s="8"/>
      <c r="HL1516" s="8"/>
      <c r="HM1516" s="8"/>
      <c r="HN1516" s="8"/>
      <c r="HO1516" s="8"/>
      <c r="HP1516" s="8"/>
      <c r="HQ1516" s="8"/>
      <c r="HR1516" s="8"/>
      <c r="HS1516" s="8"/>
      <c r="HT1516" s="8"/>
      <c r="HU1516" s="8"/>
      <c r="HV1516" s="8"/>
      <c r="HW1516" s="8"/>
      <c r="HX1516" s="8"/>
      <c r="HY1516" s="8"/>
      <c r="HZ1516" s="8"/>
      <c r="IA1516" s="8"/>
      <c r="IB1516" s="8"/>
      <c r="IC1516" s="8"/>
      <c r="ID1516" s="8"/>
      <c r="IE1516" s="8"/>
      <c r="IF1516" s="8"/>
    </row>
    <row r="1517" spans="1:240">
      <c r="A1517" s="14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3"/>
      <c r="AB1517" s="23"/>
      <c r="AC1517" s="23"/>
      <c r="AD1517" s="23"/>
      <c r="AE1517" s="23"/>
      <c r="AF1517" s="23"/>
      <c r="AG1517" s="23"/>
      <c r="AH1517" s="23"/>
      <c r="AI1517" s="23"/>
      <c r="AJ1517" s="23"/>
      <c r="AK1517" s="23"/>
      <c r="AL1517" s="23"/>
      <c r="AM1517" s="23"/>
      <c r="AN1517" s="23"/>
      <c r="AO1517" s="8"/>
      <c r="AP1517" s="8"/>
      <c r="AQ1517" s="8"/>
      <c r="AR1517" s="8"/>
      <c r="AS1517" s="8"/>
      <c r="AT1517" s="8"/>
      <c r="AU1517" s="8"/>
      <c r="AV1517" s="8"/>
      <c r="AW1517" s="8"/>
      <c r="AX1517" s="8"/>
      <c r="AY1517" s="8"/>
      <c r="AZ1517" s="8"/>
      <c r="BA1517" s="8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8"/>
      <c r="BS1517" s="8"/>
      <c r="BT1517" s="8"/>
      <c r="BU1517" s="8"/>
      <c r="BV1517" s="8"/>
      <c r="BW1517" s="8"/>
      <c r="BX1517" s="8"/>
      <c r="BY1517" s="8"/>
      <c r="BZ1517" s="8"/>
      <c r="CA1517" s="8"/>
      <c r="CB1517" s="8"/>
      <c r="CC1517" s="8"/>
      <c r="CD1517" s="8"/>
      <c r="CE1517" s="8"/>
      <c r="CF1517" s="8"/>
      <c r="CG1517" s="8"/>
      <c r="CH1517" s="8"/>
      <c r="CI1517" s="8"/>
      <c r="CJ1517" s="8"/>
      <c r="CK1517" s="8"/>
      <c r="CL1517" s="8"/>
      <c r="CM1517" s="8"/>
      <c r="CN1517" s="8"/>
      <c r="CO1517" s="8"/>
      <c r="CP1517" s="8"/>
      <c r="CQ1517" s="8"/>
      <c r="CR1517" s="8"/>
      <c r="CS1517" s="8"/>
      <c r="CT1517" s="8"/>
      <c r="CU1517" s="8"/>
      <c r="CV1517" s="8"/>
      <c r="CW1517" s="8"/>
      <c r="CX1517" s="8"/>
      <c r="CY1517" s="8"/>
      <c r="CZ1517" s="8"/>
      <c r="DA1517" s="8"/>
      <c r="DB1517" s="8"/>
      <c r="DC1517" s="8"/>
      <c r="DD1517" s="8"/>
      <c r="DE1517" s="8"/>
      <c r="DF1517" s="8"/>
      <c r="DG1517" s="8"/>
      <c r="DH1517" s="8"/>
      <c r="DI1517" s="8"/>
      <c r="DJ1517" s="8"/>
      <c r="DK1517" s="8"/>
      <c r="DL1517" s="8"/>
      <c r="DM1517" s="8"/>
      <c r="DN1517" s="8"/>
      <c r="DO1517" s="8"/>
      <c r="DP1517" s="8"/>
      <c r="DQ1517" s="8"/>
      <c r="DR1517" s="8"/>
      <c r="DS1517" s="8"/>
      <c r="DT1517" s="8"/>
      <c r="DU1517" s="8"/>
      <c r="DV1517" s="8"/>
      <c r="DW1517" s="8"/>
      <c r="DX1517" s="8"/>
      <c r="DY1517" s="8"/>
      <c r="DZ1517" s="8"/>
      <c r="EA1517" s="8"/>
      <c r="EB1517" s="8"/>
      <c r="EC1517" s="8"/>
      <c r="ED1517" s="8"/>
      <c r="EE1517" s="8"/>
      <c r="EF1517" s="8"/>
      <c r="EG1517" s="8"/>
      <c r="EH1517" s="8"/>
      <c r="EI1517" s="8"/>
      <c r="EJ1517" s="8"/>
      <c r="EK1517" s="8"/>
      <c r="EL1517" s="8"/>
      <c r="EM1517" s="8"/>
      <c r="EN1517" s="8"/>
      <c r="EO1517" s="8"/>
      <c r="EP1517" s="8"/>
      <c r="EQ1517" s="8"/>
      <c r="ER1517" s="8"/>
      <c r="ES1517" s="8"/>
      <c r="ET1517" s="8"/>
      <c r="EU1517" s="8"/>
      <c r="EV1517" s="8"/>
      <c r="EW1517" s="8"/>
      <c r="EX1517" s="8"/>
      <c r="EY1517" s="8"/>
      <c r="EZ1517" s="8"/>
      <c r="FA1517" s="8"/>
      <c r="FB1517" s="8"/>
      <c r="FC1517" s="8"/>
      <c r="FD1517" s="8"/>
      <c r="FE1517" s="8"/>
      <c r="FF1517" s="8"/>
      <c r="FG1517" s="8"/>
      <c r="FH1517" s="8"/>
      <c r="FI1517" s="8"/>
      <c r="FJ1517" s="8"/>
      <c r="FK1517" s="8"/>
      <c r="FL1517" s="8"/>
      <c r="FM1517" s="8"/>
      <c r="FN1517" s="8"/>
      <c r="FO1517" s="8"/>
      <c r="FP1517" s="8"/>
      <c r="FQ1517" s="8"/>
      <c r="FR1517" s="8"/>
      <c r="FS1517" s="8"/>
      <c r="FT1517" s="8"/>
      <c r="FU1517" s="8"/>
      <c r="FV1517" s="8"/>
      <c r="FW1517" s="8"/>
      <c r="FX1517" s="8"/>
      <c r="FY1517" s="8"/>
      <c r="FZ1517" s="8"/>
      <c r="GA1517" s="8"/>
      <c r="GB1517" s="8"/>
      <c r="GC1517" s="8"/>
      <c r="GD1517" s="8"/>
      <c r="GE1517" s="8"/>
      <c r="GF1517" s="8"/>
      <c r="GG1517" s="8"/>
      <c r="GH1517" s="8"/>
      <c r="GI1517" s="8"/>
      <c r="GJ1517" s="8"/>
      <c r="GK1517" s="8"/>
      <c r="GL1517" s="8"/>
      <c r="GM1517" s="8"/>
      <c r="GN1517" s="8"/>
      <c r="GO1517" s="8"/>
      <c r="GP1517" s="8"/>
      <c r="GQ1517" s="8"/>
      <c r="GR1517" s="8"/>
      <c r="GS1517" s="8"/>
      <c r="GT1517" s="8"/>
      <c r="GU1517" s="8"/>
      <c r="GV1517" s="8"/>
      <c r="GW1517" s="8"/>
      <c r="GX1517" s="8"/>
      <c r="GY1517" s="8"/>
      <c r="GZ1517" s="8"/>
      <c r="HA1517" s="8"/>
      <c r="HB1517" s="8"/>
      <c r="HC1517" s="8"/>
      <c r="HD1517" s="8"/>
      <c r="HE1517" s="8"/>
      <c r="HF1517" s="8"/>
      <c r="HG1517" s="8"/>
      <c r="HH1517" s="8"/>
      <c r="HI1517" s="8"/>
      <c r="HJ1517" s="8"/>
      <c r="HK1517" s="8"/>
      <c r="HL1517" s="8"/>
      <c r="HM1517" s="8"/>
      <c r="HN1517" s="8"/>
      <c r="HO1517" s="8"/>
      <c r="HP1517" s="8"/>
      <c r="HQ1517" s="8"/>
      <c r="HR1517" s="8"/>
      <c r="HS1517" s="8"/>
      <c r="HT1517" s="8"/>
      <c r="HU1517" s="8"/>
      <c r="HV1517" s="8"/>
      <c r="HW1517" s="8"/>
      <c r="HX1517" s="8"/>
      <c r="HY1517" s="8"/>
      <c r="HZ1517" s="8"/>
      <c r="IA1517" s="8"/>
      <c r="IB1517" s="8"/>
      <c r="IC1517" s="8"/>
      <c r="ID1517" s="8"/>
      <c r="IE1517" s="8"/>
      <c r="IF1517" s="8"/>
    </row>
    <row r="1518" spans="1:240">
      <c r="A1518" s="14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3"/>
      <c r="AB1518" s="23"/>
      <c r="AC1518" s="23"/>
      <c r="AD1518" s="23"/>
      <c r="AE1518" s="23"/>
      <c r="AF1518" s="23"/>
      <c r="AG1518" s="23"/>
      <c r="AH1518" s="23"/>
      <c r="AI1518" s="23"/>
      <c r="AJ1518" s="23"/>
      <c r="AK1518" s="23"/>
      <c r="AL1518" s="23"/>
      <c r="AM1518" s="23"/>
      <c r="AN1518" s="23"/>
      <c r="AO1518" s="8"/>
      <c r="AP1518" s="8"/>
      <c r="AQ1518" s="8"/>
      <c r="AR1518" s="8"/>
      <c r="AS1518" s="8"/>
      <c r="AT1518" s="8"/>
      <c r="AU1518" s="8"/>
      <c r="AV1518" s="8"/>
      <c r="AW1518" s="8"/>
      <c r="AX1518" s="8"/>
      <c r="AY1518" s="8"/>
      <c r="AZ1518" s="8"/>
      <c r="BA1518" s="8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8"/>
      <c r="BS1518" s="8"/>
      <c r="BT1518" s="8"/>
      <c r="BU1518" s="8"/>
      <c r="BV1518" s="8"/>
      <c r="BW1518" s="8"/>
      <c r="BX1518" s="8"/>
      <c r="BY1518" s="8"/>
      <c r="BZ1518" s="8"/>
      <c r="CA1518" s="8"/>
      <c r="CB1518" s="8"/>
      <c r="CC1518" s="8"/>
      <c r="CD1518" s="8"/>
      <c r="CE1518" s="8"/>
      <c r="CF1518" s="8"/>
      <c r="CG1518" s="8"/>
      <c r="CH1518" s="8"/>
      <c r="CI1518" s="8"/>
      <c r="CJ1518" s="8"/>
      <c r="CK1518" s="8"/>
      <c r="CL1518" s="8"/>
      <c r="CM1518" s="8"/>
      <c r="CN1518" s="8"/>
      <c r="CO1518" s="8"/>
      <c r="CP1518" s="8"/>
      <c r="CQ1518" s="8"/>
      <c r="CR1518" s="8"/>
      <c r="CS1518" s="8"/>
      <c r="CT1518" s="8"/>
      <c r="CU1518" s="8"/>
      <c r="CV1518" s="8"/>
      <c r="CW1518" s="8"/>
      <c r="CX1518" s="8"/>
      <c r="CY1518" s="8"/>
      <c r="CZ1518" s="8"/>
      <c r="DA1518" s="8"/>
      <c r="DB1518" s="8"/>
      <c r="DC1518" s="8"/>
      <c r="DD1518" s="8"/>
      <c r="DE1518" s="8"/>
      <c r="DF1518" s="8"/>
      <c r="DG1518" s="8"/>
      <c r="DH1518" s="8"/>
      <c r="DI1518" s="8"/>
      <c r="DJ1518" s="8"/>
      <c r="DK1518" s="8"/>
      <c r="DL1518" s="8"/>
      <c r="DM1518" s="8"/>
      <c r="DN1518" s="8"/>
      <c r="DO1518" s="8"/>
      <c r="DP1518" s="8"/>
      <c r="DQ1518" s="8"/>
      <c r="DR1518" s="8"/>
      <c r="DS1518" s="8"/>
      <c r="DT1518" s="8"/>
      <c r="DU1518" s="8"/>
      <c r="DV1518" s="8"/>
      <c r="DW1518" s="8"/>
      <c r="DX1518" s="8"/>
      <c r="DY1518" s="8"/>
      <c r="DZ1518" s="8"/>
      <c r="EA1518" s="8"/>
      <c r="EB1518" s="8"/>
      <c r="EC1518" s="8"/>
      <c r="ED1518" s="8"/>
      <c r="EE1518" s="8"/>
      <c r="EF1518" s="8"/>
      <c r="EG1518" s="8"/>
      <c r="EH1518" s="8"/>
      <c r="EI1518" s="8"/>
      <c r="EJ1518" s="8"/>
      <c r="EK1518" s="8"/>
      <c r="EL1518" s="8"/>
      <c r="EM1518" s="8"/>
      <c r="EN1518" s="8"/>
      <c r="EO1518" s="8"/>
      <c r="EP1518" s="8"/>
      <c r="EQ1518" s="8"/>
      <c r="ER1518" s="8"/>
      <c r="ES1518" s="8"/>
      <c r="ET1518" s="8"/>
      <c r="EU1518" s="8"/>
      <c r="EV1518" s="8"/>
      <c r="EW1518" s="8"/>
      <c r="EX1518" s="8"/>
      <c r="EY1518" s="8"/>
      <c r="EZ1518" s="8"/>
      <c r="FA1518" s="8"/>
      <c r="FB1518" s="8"/>
      <c r="FC1518" s="8"/>
      <c r="FD1518" s="8"/>
      <c r="FE1518" s="8"/>
      <c r="FF1518" s="8"/>
      <c r="FG1518" s="8"/>
      <c r="FH1518" s="8"/>
      <c r="FI1518" s="8"/>
      <c r="FJ1518" s="8"/>
      <c r="FK1518" s="8"/>
      <c r="FL1518" s="8"/>
      <c r="FM1518" s="8"/>
      <c r="FN1518" s="8"/>
      <c r="FO1518" s="8"/>
      <c r="FP1518" s="8"/>
      <c r="FQ1518" s="8"/>
      <c r="FR1518" s="8"/>
      <c r="FS1518" s="8"/>
      <c r="FT1518" s="8"/>
      <c r="FU1518" s="8"/>
      <c r="FV1518" s="8"/>
      <c r="FW1518" s="8"/>
      <c r="FX1518" s="8"/>
      <c r="FY1518" s="8"/>
      <c r="FZ1518" s="8"/>
      <c r="GA1518" s="8"/>
      <c r="GB1518" s="8"/>
      <c r="GC1518" s="8"/>
      <c r="GD1518" s="8"/>
      <c r="GE1518" s="8"/>
      <c r="GF1518" s="8"/>
      <c r="GG1518" s="8"/>
      <c r="GH1518" s="8"/>
      <c r="GI1518" s="8"/>
      <c r="GJ1518" s="8"/>
      <c r="GK1518" s="8"/>
      <c r="GL1518" s="8"/>
      <c r="GM1518" s="8"/>
      <c r="GN1518" s="8"/>
      <c r="GO1518" s="8"/>
      <c r="GP1518" s="8"/>
      <c r="GQ1518" s="8"/>
      <c r="GR1518" s="8"/>
      <c r="GS1518" s="8"/>
      <c r="GT1518" s="8"/>
      <c r="GU1518" s="8"/>
      <c r="GV1518" s="8"/>
      <c r="GW1518" s="8"/>
      <c r="GX1518" s="8"/>
      <c r="GY1518" s="8"/>
      <c r="GZ1518" s="8"/>
      <c r="HA1518" s="8"/>
      <c r="HB1518" s="8"/>
      <c r="HC1518" s="8"/>
      <c r="HD1518" s="8"/>
      <c r="HE1518" s="8"/>
      <c r="HF1518" s="8"/>
      <c r="HG1518" s="8"/>
      <c r="HH1518" s="8"/>
      <c r="HI1518" s="8"/>
      <c r="HJ1518" s="8"/>
      <c r="HK1518" s="8"/>
      <c r="HL1518" s="8"/>
      <c r="HM1518" s="8"/>
      <c r="HN1518" s="8"/>
      <c r="HO1518" s="8"/>
      <c r="HP1518" s="8"/>
      <c r="HQ1518" s="8"/>
      <c r="HR1518" s="8"/>
      <c r="HS1518" s="8"/>
      <c r="HT1518" s="8"/>
      <c r="HU1518" s="8"/>
      <c r="HV1518" s="8"/>
      <c r="HW1518" s="8"/>
      <c r="HX1518" s="8"/>
      <c r="HY1518" s="8"/>
      <c r="HZ1518" s="8"/>
      <c r="IA1518" s="8"/>
      <c r="IB1518" s="8"/>
      <c r="IC1518" s="8"/>
      <c r="ID1518" s="8"/>
      <c r="IE1518" s="8"/>
      <c r="IF1518" s="8"/>
    </row>
    <row r="1519" spans="1:240">
      <c r="A1519" s="14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3"/>
      <c r="AD1519" s="23"/>
      <c r="AE1519" s="23"/>
      <c r="AF1519" s="23"/>
      <c r="AG1519" s="23"/>
      <c r="AH1519" s="23"/>
      <c r="AI1519" s="23"/>
      <c r="AJ1519" s="23"/>
      <c r="AK1519" s="23"/>
      <c r="AL1519" s="23"/>
      <c r="AM1519" s="23"/>
      <c r="AN1519" s="23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8"/>
      <c r="BS1519" s="8"/>
      <c r="BT1519" s="8"/>
      <c r="BU1519" s="8"/>
      <c r="BV1519" s="8"/>
      <c r="BW1519" s="8"/>
      <c r="BX1519" s="8"/>
      <c r="BY1519" s="8"/>
      <c r="BZ1519" s="8"/>
      <c r="CA1519" s="8"/>
      <c r="CB1519" s="8"/>
      <c r="CC1519" s="8"/>
      <c r="CD1519" s="8"/>
      <c r="CE1519" s="8"/>
      <c r="CF1519" s="8"/>
      <c r="CG1519" s="8"/>
      <c r="CH1519" s="8"/>
      <c r="CI1519" s="8"/>
      <c r="CJ1519" s="8"/>
      <c r="CK1519" s="8"/>
      <c r="CL1519" s="8"/>
      <c r="CM1519" s="8"/>
      <c r="CN1519" s="8"/>
      <c r="CO1519" s="8"/>
      <c r="CP1519" s="8"/>
      <c r="CQ1519" s="8"/>
      <c r="CR1519" s="8"/>
      <c r="CS1519" s="8"/>
      <c r="CT1519" s="8"/>
      <c r="CU1519" s="8"/>
      <c r="CV1519" s="8"/>
      <c r="CW1519" s="8"/>
      <c r="CX1519" s="8"/>
      <c r="CY1519" s="8"/>
      <c r="CZ1519" s="8"/>
      <c r="DA1519" s="8"/>
      <c r="DB1519" s="8"/>
      <c r="DC1519" s="8"/>
      <c r="DD1519" s="8"/>
      <c r="DE1519" s="8"/>
      <c r="DF1519" s="8"/>
      <c r="DG1519" s="8"/>
      <c r="DH1519" s="8"/>
      <c r="DI1519" s="8"/>
      <c r="DJ1519" s="8"/>
      <c r="DK1519" s="8"/>
      <c r="DL1519" s="8"/>
      <c r="DM1519" s="8"/>
      <c r="DN1519" s="8"/>
      <c r="DO1519" s="8"/>
      <c r="DP1519" s="8"/>
      <c r="DQ1519" s="8"/>
      <c r="DR1519" s="8"/>
      <c r="DS1519" s="8"/>
      <c r="DT1519" s="8"/>
      <c r="DU1519" s="8"/>
      <c r="DV1519" s="8"/>
      <c r="DW1519" s="8"/>
      <c r="DX1519" s="8"/>
      <c r="DY1519" s="8"/>
      <c r="DZ1519" s="8"/>
      <c r="EA1519" s="8"/>
      <c r="EB1519" s="8"/>
      <c r="EC1519" s="8"/>
      <c r="ED1519" s="8"/>
      <c r="EE1519" s="8"/>
      <c r="EF1519" s="8"/>
      <c r="EG1519" s="8"/>
      <c r="EH1519" s="8"/>
      <c r="EI1519" s="8"/>
      <c r="EJ1519" s="8"/>
      <c r="EK1519" s="8"/>
      <c r="EL1519" s="8"/>
      <c r="EM1519" s="8"/>
      <c r="EN1519" s="8"/>
      <c r="EO1519" s="8"/>
      <c r="EP1519" s="8"/>
      <c r="EQ1519" s="8"/>
      <c r="ER1519" s="8"/>
      <c r="ES1519" s="8"/>
      <c r="ET1519" s="8"/>
      <c r="EU1519" s="8"/>
      <c r="EV1519" s="8"/>
      <c r="EW1519" s="8"/>
      <c r="EX1519" s="8"/>
      <c r="EY1519" s="8"/>
      <c r="EZ1519" s="8"/>
      <c r="FA1519" s="8"/>
      <c r="FB1519" s="8"/>
      <c r="FC1519" s="8"/>
      <c r="FD1519" s="8"/>
      <c r="FE1519" s="8"/>
      <c r="FF1519" s="8"/>
      <c r="FG1519" s="8"/>
      <c r="FH1519" s="8"/>
      <c r="FI1519" s="8"/>
      <c r="FJ1519" s="8"/>
      <c r="FK1519" s="8"/>
      <c r="FL1519" s="8"/>
      <c r="FM1519" s="8"/>
      <c r="FN1519" s="8"/>
      <c r="FO1519" s="8"/>
      <c r="FP1519" s="8"/>
      <c r="FQ1519" s="8"/>
      <c r="FR1519" s="8"/>
      <c r="FS1519" s="8"/>
      <c r="FT1519" s="8"/>
      <c r="FU1519" s="8"/>
      <c r="FV1519" s="8"/>
      <c r="FW1519" s="8"/>
      <c r="FX1519" s="8"/>
      <c r="FY1519" s="8"/>
      <c r="FZ1519" s="8"/>
      <c r="GA1519" s="8"/>
      <c r="GB1519" s="8"/>
      <c r="GC1519" s="8"/>
      <c r="GD1519" s="8"/>
      <c r="GE1519" s="8"/>
      <c r="GF1519" s="8"/>
      <c r="GG1519" s="8"/>
      <c r="GH1519" s="8"/>
      <c r="GI1519" s="8"/>
      <c r="GJ1519" s="8"/>
      <c r="GK1519" s="8"/>
      <c r="GL1519" s="8"/>
      <c r="GM1519" s="8"/>
      <c r="GN1519" s="8"/>
      <c r="GO1519" s="8"/>
      <c r="GP1519" s="8"/>
      <c r="GQ1519" s="8"/>
      <c r="GR1519" s="8"/>
      <c r="GS1519" s="8"/>
      <c r="GT1519" s="8"/>
      <c r="GU1519" s="8"/>
      <c r="GV1519" s="8"/>
      <c r="GW1519" s="8"/>
      <c r="GX1519" s="8"/>
      <c r="GY1519" s="8"/>
      <c r="GZ1519" s="8"/>
      <c r="HA1519" s="8"/>
      <c r="HB1519" s="8"/>
      <c r="HC1519" s="8"/>
      <c r="HD1519" s="8"/>
      <c r="HE1519" s="8"/>
      <c r="HF1519" s="8"/>
      <c r="HG1519" s="8"/>
      <c r="HH1519" s="8"/>
      <c r="HI1519" s="8"/>
      <c r="HJ1519" s="8"/>
      <c r="HK1519" s="8"/>
      <c r="HL1519" s="8"/>
      <c r="HM1519" s="8"/>
      <c r="HN1519" s="8"/>
      <c r="HO1519" s="8"/>
      <c r="HP1519" s="8"/>
      <c r="HQ1519" s="8"/>
      <c r="HR1519" s="8"/>
      <c r="HS1519" s="8"/>
      <c r="HT1519" s="8"/>
      <c r="HU1519" s="8"/>
      <c r="HV1519" s="8"/>
      <c r="HW1519" s="8"/>
      <c r="HX1519" s="8"/>
      <c r="HY1519" s="8"/>
      <c r="HZ1519" s="8"/>
      <c r="IA1519" s="8"/>
      <c r="IB1519" s="8"/>
      <c r="IC1519" s="8"/>
      <c r="ID1519" s="8"/>
      <c r="IE1519" s="8"/>
      <c r="IF1519" s="8"/>
    </row>
    <row r="1520" spans="1:240">
      <c r="A1520" s="14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  <c r="AC1520" s="23"/>
      <c r="AD1520" s="23"/>
      <c r="AE1520" s="23"/>
      <c r="AF1520" s="23"/>
      <c r="AG1520" s="23"/>
      <c r="AH1520" s="23"/>
      <c r="AI1520" s="23"/>
      <c r="AJ1520" s="23"/>
      <c r="AK1520" s="23"/>
      <c r="AL1520" s="23"/>
      <c r="AM1520" s="23"/>
      <c r="AN1520" s="23"/>
      <c r="AO1520" s="8"/>
      <c r="AP1520" s="8"/>
      <c r="AQ1520" s="8"/>
      <c r="AR1520" s="8"/>
      <c r="AS1520" s="8"/>
      <c r="AT1520" s="8"/>
      <c r="AU1520" s="8"/>
      <c r="AV1520" s="8"/>
      <c r="AW1520" s="8"/>
      <c r="AX1520" s="8"/>
      <c r="AY1520" s="8"/>
      <c r="AZ1520" s="8"/>
      <c r="BA1520" s="8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8"/>
      <c r="BS1520" s="8"/>
      <c r="BT1520" s="8"/>
      <c r="BU1520" s="8"/>
      <c r="BV1520" s="8"/>
      <c r="BW1520" s="8"/>
      <c r="BX1520" s="8"/>
      <c r="BY1520" s="8"/>
      <c r="BZ1520" s="8"/>
      <c r="CA1520" s="8"/>
      <c r="CB1520" s="8"/>
      <c r="CC1520" s="8"/>
      <c r="CD1520" s="8"/>
      <c r="CE1520" s="8"/>
      <c r="CF1520" s="8"/>
      <c r="CG1520" s="8"/>
      <c r="CH1520" s="8"/>
      <c r="CI1520" s="8"/>
      <c r="CJ1520" s="8"/>
      <c r="CK1520" s="8"/>
      <c r="CL1520" s="8"/>
      <c r="CM1520" s="8"/>
      <c r="CN1520" s="8"/>
      <c r="CO1520" s="8"/>
      <c r="CP1520" s="8"/>
      <c r="CQ1520" s="8"/>
      <c r="CR1520" s="8"/>
      <c r="CS1520" s="8"/>
      <c r="CT1520" s="8"/>
      <c r="CU1520" s="8"/>
      <c r="CV1520" s="8"/>
      <c r="CW1520" s="8"/>
      <c r="CX1520" s="8"/>
      <c r="CY1520" s="8"/>
      <c r="CZ1520" s="8"/>
      <c r="DA1520" s="8"/>
      <c r="DB1520" s="8"/>
      <c r="DC1520" s="8"/>
      <c r="DD1520" s="8"/>
      <c r="DE1520" s="8"/>
      <c r="DF1520" s="8"/>
      <c r="DG1520" s="8"/>
      <c r="DH1520" s="8"/>
      <c r="DI1520" s="8"/>
      <c r="DJ1520" s="8"/>
      <c r="DK1520" s="8"/>
      <c r="DL1520" s="8"/>
      <c r="DM1520" s="8"/>
      <c r="DN1520" s="8"/>
      <c r="DO1520" s="8"/>
      <c r="DP1520" s="8"/>
      <c r="DQ1520" s="8"/>
      <c r="DR1520" s="8"/>
      <c r="DS1520" s="8"/>
      <c r="DT1520" s="8"/>
      <c r="DU1520" s="8"/>
      <c r="DV1520" s="8"/>
      <c r="DW1520" s="8"/>
      <c r="DX1520" s="8"/>
      <c r="DY1520" s="8"/>
      <c r="DZ1520" s="8"/>
      <c r="EA1520" s="8"/>
      <c r="EB1520" s="8"/>
      <c r="EC1520" s="8"/>
      <c r="ED1520" s="8"/>
      <c r="EE1520" s="8"/>
      <c r="EF1520" s="8"/>
      <c r="EG1520" s="8"/>
      <c r="EH1520" s="8"/>
      <c r="EI1520" s="8"/>
      <c r="EJ1520" s="8"/>
      <c r="EK1520" s="8"/>
      <c r="EL1520" s="8"/>
      <c r="EM1520" s="8"/>
      <c r="EN1520" s="8"/>
      <c r="EO1520" s="8"/>
      <c r="EP1520" s="8"/>
      <c r="EQ1520" s="8"/>
      <c r="ER1520" s="8"/>
      <c r="ES1520" s="8"/>
      <c r="ET1520" s="8"/>
      <c r="EU1520" s="8"/>
      <c r="EV1520" s="8"/>
      <c r="EW1520" s="8"/>
      <c r="EX1520" s="8"/>
      <c r="EY1520" s="8"/>
      <c r="EZ1520" s="8"/>
      <c r="FA1520" s="8"/>
      <c r="FB1520" s="8"/>
      <c r="FC1520" s="8"/>
      <c r="FD1520" s="8"/>
      <c r="FE1520" s="8"/>
      <c r="FF1520" s="8"/>
      <c r="FG1520" s="8"/>
      <c r="FH1520" s="8"/>
      <c r="FI1520" s="8"/>
      <c r="FJ1520" s="8"/>
      <c r="FK1520" s="8"/>
      <c r="FL1520" s="8"/>
      <c r="FM1520" s="8"/>
      <c r="FN1520" s="8"/>
      <c r="FO1520" s="8"/>
      <c r="FP1520" s="8"/>
      <c r="FQ1520" s="8"/>
      <c r="FR1520" s="8"/>
      <c r="FS1520" s="8"/>
      <c r="FT1520" s="8"/>
      <c r="FU1520" s="8"/>
      <c r="FV1520" s="8"/>
      <c r="FW1520" s="8"/>
      <c r="FX1520" s="8"/>
      <c r="FY1520" s="8"/>
      <c r="FZ1520" s="8"/>
      <c r="GA1520" s="8"/>
      <c r="GB1520" s="8"/>
      <c r="GC1520" s="8"/>
      <c r="GD1520" s="8"/>
      <c r="GE1520" s="8"/>
      <c r="GF1520" s="8"/>
      <c r="GG1520" s="8"/>
      <c r="GH1520" s="8"/>
      <c r="GI1520" s="8"/>
      <c r="GJ1520" s="8"/>
      <c r="GK1520" s="8"/>
      <c r="GL1520" s="8"/>
      <c r="GM1520" s="8"/>
      <c r="GN1520" s="8"/>
      <c r="GO1520" s="8"/>
      <c r="GP1520" s="8"/>
      <c r="GQ1520" s="8"/>
      <c r="GR1520" s="8"/>
      <c r="GS1520" s="8"/>
      <c r="GT1520" s="8"/>
      <c r="GU1520" s="8"/>
      <c r="GV1520" s="8"/>
      <c r="GW1520" s="8"/>
      <c r="GX1520" s="8"/>
      <c r="GY1520" s="8"/>
      <c r="GZ1520" s="8"/>
      <c r="HA1520" s="8"/>
      <c r="HB1520" s="8"/>
      <c r="HC1520" s="8"/>
      <c r="HD1520" s="8"/>
      <c r="HE1520" s="8"/>
      <c r="HF1520" s="8"/>
      <c r="HG1520" s="8"/>
      <c r="HH1520" s="8"/>
      <c r="HI1520" s="8"/>
      <c r="HJ1520" s="8"/>
      <c r="HK1520" s="8"/>
      <c r="HL1520" s="8"/>
      <c r="HM1520" s="8"/>
      <c r="HN1520" s="8"/>
      <c r="HO1520" s="8"/>
      <c r="HP1520" s="8"/>
      <c r="HQ1520" s="8"/>
      <c r="HR1520" s="8"/>
      <c r="HS1520" s="8"/>
      <c r="HT1520" s="8"/>
      <c r="HU1520" s="8"/>
      <c r="HV1520" s="8"/>
      <c r="HW1520" s="8"/>
      <c r="HX1520" s="8"/>
      <c r="HY1520" s="8"/>
      <c r="HZ1520" s="8"/>
      <c r="IA1520" s="8"/>
      <c r="IB1520" s="8"/>
      <c r="IC1520" s="8"/>
      <c r="ID1520" s="8"/>
      <c r="IE1520" s="8"/>
      <c r="IF1520" s="8"/>
    </row>
    <row r="1521" spans="1:240">
      <c r="A1521" s="14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  <c r="AJ1521" s="23"/>
      <c r="AK1521" s="23"/>
      <c r="AL1521" s="23"/>
      <c r="AM1521" s="23"/>
      <c r="AN1521" s="23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8"/>
      <c r="BS1521" s="8"/>
      <c r="BT1521" s="8"/>
      <c r="BU1521" s="8"/>
      <c r="BV1521" s="8"/>
      <c r="BW1521" s="8"/>
      <c r="BX1521" s="8"/>
      <c r="BY1521" s="8"/>
      <c r="BZ1521" s="8"/>
      <c r="CA1521" s="8"/>
      <c r="CB1521" s="8"/>
      <c r="CC1521" s="8"/>
      <c r="CD1521" s="8"/>
      <c r="CE1521" s="8"/>
      <c r="CF1521" s="8"/>
      <c r="CG1521" s="8"/>
      <c r="CH1521" s="8"/>
      <c r="CI1521" s="8"/>
      <c r="CJ1521" s="8"/>
      <c r="CK1521" s="8"/>
      <c r="CL1521" s="8"/>
      <c r="CM1521" s="8"/>
      <c r="CN1521" s="8"/>
      <c r="CO1521" s="8"/>
      <c r="CP1521" s="8"/>
      <c r="CQ1521" s="8"/>
      <c r="CR1521" s="8"/>
      <c r="CS1521" s="8"/>
      <c r="CT1521" s="8"/>
      <c r="CU1521" s="8"/>
      <c r="CV1521" s="8"/>
      <c r="CW1521" s="8"/>
      <c r="CX1521" s="8"/>
      <c r="CY1521" s="8"/>
      <c r="CZ1521" s="8"/>
      <c r="DA1521" s="8"/>
      <c r="DB1521" s="8"/>
      <c r="DC1521" s="8"/>
      <c r="DD1521" s="8"/>
      <c r="DE1521" s="8"/>
      <c r="DF1521" s="8"/>
      <c r="DG1521" s="8"/>
      <c r="DH1521" s="8"/>
      <c r="DI1521" s="8"/>
      <c r="DJ1521" s="8"/>
      <c r="DK1521" s="8"/>
      <c r="DL1521" s="8"/>
      <c r="DM1521" s="8"/>
      <c r="DN1521" s="8"/>
      <c r="DO1521" s="8"/>
      <c r="DP1521" s="8"/>
      <c r="DQ1521" s="8"/>
      <c r="DR1521" s="8"/>
      <c r="DS1521" s="8"/>
      <c r="DT1521" s="8"/>
      <c r="DU1521" s="8"/>
      <c r="DV1521" s="8"/>
      <c r="DW1521" s="8"/>
      <c r="DX1521" s="8"/>
      <c r="DY1521" s="8"/>
      <c r="DZ1521" s="8"/>
      <c r="EA1521" s="8"/>
      <c r="EB1521" s="8"/>
      <c r="EC1521" s="8"/>
      <c r="ED1521" s="8"/>
      <c r="EE1521" s="8"/>
      <c r="EF1521" s="8"/>
      <c r="EG1521" s="8"/>
      <c r="EH1521" s="8"/>
      <c r="EI1521" s="8"/>
      <c r="EJ1521" s="8"/>
      <c r="EK1521" s="8"/>
      <c r="EL1521" s="8"/>
      <c r="EM1521" s="8"/>
      <c r="EN1521" s="8"/>
      <c r="EO1521" s="8"/>
      <c r="EP1521" s="8"/>
      <c r="EQ1521" s="8"/>
      <c r="ER1521" s="8"/>
      <c r="ES1521" s="8"/>
      <c r="ET1521" s="8"/>
      <c r="EU1521" s="8"/>
      <c r="EV1521" s="8"/>
      <c r="EW1521" s="8"/>
      <c r="EX1521" s="8"/>
      <c r="EY1521" s="8"/>
      <c r="EZ1521" s="8"/>
      <c r="FA1521" s="8"/>
      <c r="FB1521" s="8"/>
      <c r="FC1521" s="8"/>
      <c r="FD1521" s="8"/>
      <c r="FE1521" s="8"/>
      <c r="FF1521" s="8"/>
      <c r="FG1521" s="8"/>
      <c r="FH1521" s="8"/>
      <c r="FI1521" s="8"/>
      <c r="FJ1521" s="8"/>
      <c r="FK1521" s="8"/>
      <c r="FL1521" s="8"/>
      <c r="FM1521" s="8"/>
      <c r="FN1521" s="8"/>
      <c r="FO1521" s="8"/>
      <c r="FP1521" s="8"/>
      <c r="FQ1521" s="8"/>
      <c r="FR1521" s="8"/>
      <c r="FS1521" s="8"/>
      <c r="FT1521" s="8"/>
      <c r="FU1521" s="8"/>
      <c r="FV1521" s="8"/>
      <c r="FW1521" s="8"/>
      <c r="FX1521" s="8"/>
      <c r="FY1521" s="8"/>
      <c r="FZ1521" s="8"/>
      <c r="GA1521" s="8"/>
      <c r="GB1521" s="8"/>
      <c r="GC1521" s="8"/>
      <c r="GD1521" s="8"/>
      <c r="GE1521" s="8"/>
      <c r="GF1521" s="8"/>
      <c r="GG1521" s="8"/>
      <c r="GH1521" s="8"/>
      <c r="GI1521" s="8"/>
      <c r="GJ1521" s="8"/>
      <c r="GK1521" s="8"/>
      <c r="GL1521" s="8"/>
      <c r="GM1521" s="8"/>
      <c r="GN1521" s="8"/>
      <c r="GO1521" s="8"/>
      <c r="GP1521" s="8"/>
      <c r="GQ1521" s="8"/>
      <c r="GR1521" s="8"/>
      <c r="GS1521" s="8"/>
      <c r="GT1521" s="8"/>
      <c r="GU1521" s="8"/>
      <c r="GV1521" s="8"/>
      <c r="GW1521" s="8"/>
      <c r="GX1521" s="8"/>
      <c r="GY1521" s="8"/>
      <c r="GZ1521" s="8"/>
      <c r="HA1521" s="8"/>
      <c r="HB1521" s="8"/>
      <c r="HC1521" s="8"/>
      <c r="HD1521" s="8"/>
      <c r="HE1521" s="8"/>
      <c r="HF1521" s="8"/>
      <c r="HG1521" s="8"/>
      <c r="HH1521" s="8"/>
      <c r="HI1521" s="8"/>
      <c r="HJ1521" s="8"/>
      <c r="HK1521" s="8"/>
      <c r="HL1521" s="8"/>
      <c r="HM1521" s="8"/>
      <c r="HN1521" s="8"/>
      <c r="HO1521" s="8"/>
      <c r="HP1521" s="8"/>
      <c r="HQ1521" s="8"/>
      <c r="HR1521" s="8"/>
      <c r="HS1521" s="8"/>
      <c r="HT1521" s="8"/>
      <c r="HU1521" s="8"/>
      <c r="HV1521" s="8"/>
      <c r="HW1521" s="8"/>
      <c r="HX1521" s="8"/>
      <c r="HY1521" s="8"/>
      <c r="HZ1521" s="8"/>
      <c r="IA1521" s="8"/>
      <c r="IB1521" s="8"/>
      <c r="IC1521" s="8"/>
      <c r="ID1521" s="8"/>
      <c r="IE1521" s="8"/>
      <c r="IF1521" s="8"/>
    </row>
    <row r="1522" spans="1:240">
      <c r="A1522" s="14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  <c r="AJ1522" s="23"/>
      <c r="AK1522" s="23"/>
      <c r="AL1522" s="23"/>
      <c r="AM1522" s="23"/>
      <c r="AN1522" s="23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8"/>
      <c r="BS1522" s="8"/>
      <c r="BT1522" s="8"/>
      <c r="BU1522" s="8"/>
      <c r="BV1522" s="8"/>
      <c r="BW1522" s="8"/>
      <c r="BX1522" s="8"/>
      <c r="BY1522" s="8"/>
      <c r="BZ1522" s="8"/>
      <c r="CA1522" s="8"/>
      <c r="CB1522" s="8"/>
      <c r="CC1522" s="8"/>
      <c r="CD1522" s="8"/>
      <c r="CE1522" s="8"/>
      <c r="CF1522" s="8"/>
      <c r="CG1522" s="8"/>
      <c r="CH1522" s="8"/>
      <c r="CI1522" s="8"/>
      <c r="CJ1522" s="8"/>
      <c r="CK1522" s="8"/>
      <c r="CL1522" s="8"/>
      <c r="CM1522" s="8"/>
      <c r="CN1522" s="8"/>
      <c r="CO1522" s="8"/>
      <c r="CP1522" s="8"/>
      <c r="CQ1522" s="8"/>
      <c r="CR1522" s="8"/>
      <c r="CS1522" s="8"/>
      <c r="CT1522" s="8"/>
      <c r="CU1522" s="8"/>
      <c r="CV1522" s="8"/>
      <c r="CW1522" s="8"/>
      <c r="CX1522" s="8"/>
      <c r="CY1522" s="8"/>
      <c r="CZ1522" s="8"/>
      <c r="DA1522" s="8"/>
      <c r="DB1522" s="8"/>
      <c r="DC1522" s="8"/>
      <c r="DD1522" s="8"/>
      <c r="DE1522" s="8"/>
      <c r="DF1522" s="8"/>
      <c r="DG1522" s="8"/>
      <c r="DH1522" s="8"/>
      <c r="DI1522" s="8"/>
      <c r="DJ1522" s="8"/>
      <c r="DK1522" s="8"/>
      <c r="DL1522" s="8"/>
      <c r="DM1522" s="8"/>
      <c r="DN1522" s="8"/>
      <c r="DO1522" s="8"/>
      <c r="DP1522" s="8"/>
      <c r="DQ1522" s="8"/>
      <c r="DR1522" s="8"/>
      <c r="DS1522" s="8"/>
      <c r="DT1522" s="8"/>
      <c r="DU1522" s="8"/>
      <c r="DV1522" s="8"/>
      <c r="DW1522" s="8"/>
      <c r="DX1522" s="8"/>
      <c r="DY1522" s="8"/>
      <c r="DZ1522" s="8"/>
      <c r="EA1522" s="8"/>
      <c r="EB1522" s="8"/>
      <c r="EC1522" s="8"/>
      <c r="ED1522" s="8"/>
      <c r="EE1522" s="8"/>
      <c r="EF1522" s="8"/>
      <c r="EG1522" s="8"/>
      <c r="EH1522" s="8"/>
      <c r="EI1522" s="8"/>
      <c r="EJ1522" s="8"/>
      <c r="EK1522" s="8"/>
      <c r="EL1522" s="8"/>
      <c r="EM1522" s="8"/>
      <c r="EN1522" s="8"/>
      <c r="EO1522" s="8"/>
      <c r="EP1522" s="8"/>
      <c r="EQ1522" s="8"/>
      <c r="ER1522" s="8"/>
      <c r="ES1522" s="8"/>
      <c r="ET1522" s="8"/>
      <c r="EU1522" s="8"/>
      <c r="EV1522" s="8"/>
      <c r="EW1522" s="8"/>
      <c r="EX1522" s="8"/>
      <c r="EY1522" s="8"/>
      <c r="EZ1522" s="8"/>
      <c r="FA1522" s="8"/>
      <c r="FB1522" s="8"/>
      <c r="FC1522" s="8"/>
      <c r="FD1522" s="8"/>
      <c r="FE1522" s="8"/>
      <c r="FF1522" s="8"/>
      <c r="FG1522" s="8"/>
      <c r="FH1522" s="8"/>
      <c r="FI1522" s="8"/>
      <c r="FJ1522" s="8"/>
      <c r="FK1522" s="8"/>
      <c r="FL1522" s="8"/>
      <c r="FM1522" s="8"/>
      <c r="FN1522" s="8"/>
      <c r="FO1522" s="8"/>
      <c r="FP1522" s="8"/>
      <c r="FQ1522" s="8"/>
      <c r="FR1522" s="8"/>
      <c r="FS1522" s="8"/>
      <c r="FT1522" s="8"/>
      <c r="FU1522" s="8"/>
      <c r="FV1522" s="8"/>
      <c r="FW1522" s="8"/>
      <c r="FX1522" s="8"/>
      <c r="FY1522" s="8"/>
      <c r="FZ1522" s="8"/>
      <c r="GA1522" s="8"/>
      <c r="GB1522" s="8"/>
      <c r="GC1522" s="8"/>
      <c r="GD1522" s="8"/>
      <c r="GE1522" s="8"/>
      <c r="GF1522" s="8"/>
      <c r="GG1522" s="8"/>
      <c r="GH1522" s="8"/>
      <c r="GI1522" s="8"/>
      <c r="GJ1522" s="8"/>
      <c r="GK1522" s="8"/>
      <c r="GL1522" s="8"/>
      <c r="GM1522" s="8"/>
      <c r="GN1522" s="8"/>
      <c r="GO1522" s="8"/>
      <c r="GP1522" s="8"/>
      <c r="GQ1522" s="8"/>
      <c r="GR1522" s="8"/>
      <c r="GS1522" s="8"/>
      <c r="GT1522" s="8"/>
      <c r="GU1522" s="8"/>
      <c r="GV1522" s="8"/>
      <c r="GW1522" s="8"/>
      <c r="GX1522" s="8"/>
      <c r="GY1522" s="8"/>
      <c r="GZ1522" s="8"/>
      <c r="HA1522" s="8"/>
      <c r="HB1522" s="8"/>
      <c r="HC1522" s="8"/>
      <c r="HD1522" s="8"/>
      <c r="HE1522" s="8"/>
      <c r="HF1522" s="8"/>
      <c r="HG1522" s="8"/>
      <c r="HH1522" s="8"/>
      <c r="HI1522" s="8"/>
      <c r="HJ1522" s="8"/>
      <c r="HK1522" s="8"/>
      <c r="HL1522" s="8"/>
      <c r="HM1522" s="8"/>
      <c r="HN1522" s="8"/>
      <c r="HO1522" s="8"/>
      <c r="HP1522" s="8"/>
      <c r="HQ1522" s="8"/>
      <c r="HR1522" s="8"/>
      <c r="HS1522" s="8"/>
      <c r="HT1522" s="8"/>
      <c r="HU1522" s="8"/>
      <c r="HV1522" s="8"/>
      <c r="HW1522" s="8"/>
      <c r="HX1522" s="8"/>
      <c r="HY1522" s="8"/>
      <c r="HZ1522" s="8"/>
      <c r="IA1522" s="8"/>
      <c r="IB1522" s="8"/>
      <c r="IC1522" s="8"/>
      <c r="ID1522" s="8"/>
      <c r="IE1522" s="8"/>
      <c r="IF1522" s="8"/>
    </row>
    <row r="1523" spans="1:240">
      <c r="A1523" s="14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8"/>
      <c r="BS1523" s="8"/>
      <c r="BT1523" s="8"/>
      <c r="BU1523" s="8"/>
      <c r="BV1523" s="8"/>
      <c r="BW1523" s="8"/>
      <c r="BX1523" s="8"/>
      <c r="BY1523" s="8"/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/>
      <c r="CK1523" s="8"/>
      <c r="CL1523" s="8"/>
      <c r="CM1523" s="8"/>
      <c r="CN1523" s="8"/>
      <c r="CO1523" s="8"/>
      <c r="CP1523" s="8"/>
      <c r="CQ1523" s="8"/>
      <c r="CR1523" s="8"/>
      <c r="CS1523" s="8"/>
      <c r="CT1523" s="8"/>
      <c r="CU1523" s="8"/>
      <c r="CV1523" s="8"/>
      <c r="CW1523" s="8"/>
      <c r="CX1523" s="8"/>
      <c r="CY1523" s="8"/>
      <c r="CZ1523" s="8"/>
      <c r="DA1523" s="8"/>
      <c r="DB1523" s="8"/>
      <c r="DC1523" s="8"/>
      <c r="DD1523" s="8"/>
      <c r="DE1523" s="8"/>
      <c r="DF1523" s="8"/>
      <c r="DG1523" s="8"/>
      <c r="DH1523" s="8"/>
      <c r="DI1523" s="8"/>
      <c r="DJ1523" s="8"/>
      <c r="DK1523" s="8"/>
      <c r="DL1523" s="8"/>
      <c r="DM1523" s="8"/>
      <c r="DN1523" s="8"/>
      <c r="DO1523" s="8"/>
      <c r="DP1523" s="8"/>
      <c r="DQ1523" s="8"/>
      <c r="DR1523" s="8"/>
      <c r="DS1523" s="8"/>
      <c r="DT1523" s="8"/>
      <c r="DU1523" s="8"/>
      <c r="DV1523" s="8"/>
      <c r="DW1523" s="8"/>
      <c r="DX1523" s="8"/>
      <c r="DY1523" s="8"/>
      <c r="DZ1523" s="8"/>
      <c r="EA1523" s="8"/>
      <c r="EB1523" s="8"/>
      <c r="EC1523" s="8"/>
      <c r="ED1523" s="8"/>
      <c r="EE1523" s="8"/>
      <c r="EF1523" s="8"/>
      <c r="EG1523" s="8"/>
      <c r="EH1523" s="8"/>
      <c r="EI1523" s="8"/>
      <c r="EJ1523" s="8"/>
      <c r="EK1523" s="8"/>
      <c r="EL1523" s="8"/>
      <c r="EM1523" s="8"/>
      <c r="EN1523" s="8"/>
      <c r="EO1523" s="8"/>
      <c r="EP1523" s="8"/>
      <c r="EQ1523" s="8"/>
      <c r="ER1523" s="8"/>
      <c r="ES1523" s="8"/>
      <c r="ET1523" s="8"/>
      <c r="EU1523" s="8"/>
      <c r="EV1523" s="8"/>
      <c r="EW1523" s="8"/>
      <c r="EX1523" s="8"/>
      <c r="EY1523" s="8"/>
      <c r="EZ1523" s="8"/>
      <c r="FA1523" s="8"/>
      <c r="FB1523" s="8"/>
      <c r="FC1523" s="8"/>
      <c r="FD1523" s="8"/>
      <c r="FE1523" s="8"/>
      <c r="FF1523" s="8"/>
      <c r="FG1523" s="8"/>
      <c r="FH1523" s="8"/>
      <c r="FI1523" s="8"/>
      <c r="FJ1523" s="8"/>
      <c r="FK1523" s="8"/>
      <c r="FL1523" s="8"/>
      <c r="FM1523" s="8"/>
      <c r="FN1523" s="8"/>
      <c r="FO1523" s="8"/>
      <c r="FP1523" s="8"/>
      <c r="FQ1523" s="8"/>
      <c r="FR1523" s="8"/>
      <c r="FS1523" s="8"/>
      <c r="FT1523" s="8"/>
      <c r="FU1523" s="8"/>
      <c r="FV1523" s="8"/>
      <c r="FW1523" s="8"/>
      <c r="FX1523" s="8"/>
      <c r="FY1523" s="8"/>
      <c r="FZ1523" s="8"/>
      <c r="GA1523" s="8"/>
      <c r="GB1523" s="8"/>
      <c r="GC1523" s="8"/>
      <c r="GD1523" s="8"/>
      <c r="GE1523" s="8"/>
      <c r="GF1523" s="8"/>
      <c r="GG1523" s="8"/>
      <c r="GH1523" s="8"/>
      <c r="GI1523" s="8"/>
      <c r="GJ1523" s="8"/>
      <c r="GK1523" s="8"/>
      <c r="GL1523" s="8"/>
      <c r="GM1523" s="8"/>
      <c r="GN1523" s="8"/>
      <c r="GO1523" s="8"/>
      <c r="GP1523" s="8"/>
      <c r="GQ1523" s="8"/>
      <c r="GR1523" s="8"/>
      <c r="GS1523" s="8"/>
      <c r="GT1523" s="8"/>
      <c r="GU1523" s="8"/>
      <c r="GV1523" s="8"/>
      <c r="GW1523" s="8"/>
      <c r="GX1523" s="8"/>
      <c r="GY1523" s="8"/>
      <c r="GZ1523" s="8"/>
      <c r="HA1523" s="8"/>
      <c r="HB1523" s="8"/>
      <c r="HC1523" s="8"/>
      <c r="HD1523" s="8"/>
      <c r="HE1523" s="8"/>
      <c r="HF1523" s="8"/>
      <c r="HG1523" s="8"/>
      <c r="HH1523" s="8"/>
      <c r="HI1523" s="8"/>
      <c r="HJ1523" s="8"/>
      <c r="HK1523" s="8"/>
      <c r="HL1523" s="8"/>
      <c r="HM1523" s="8"/>
      <c r="HN1523" s="8"/>
      <c r="HO1523" s="8"/>
      <c r="HP1523" s="8"/>
      <c r="HQ1523" s="8"/>
      <c r="HR1523" s="8"/>
      <c r="HS1523" s="8"/>
      <c r="HT1523" s="8"/>
      <c r="HU1523" s="8"/>
      <c r="HV1523" s="8"/>
      <c r="HW1523" s="8"/>
      <c r="HX1523" s="8"/>
      <c r="HY1523" s="8"/>
      <c r="HZ1523" s="8"/>
      <c r="IA1523" s="8"/>
      <c r="IB1523" s="8"/>
      <c r="IC1523" s="8"/>
      <c r="ID1523" s="8"/>
      <c r="IE1523" s="8"/>
      <c r="IF1523" s="8"/>
    </row>
    <row r="1524" spans="1:240">
      <c r="A1524" s="14"/>
      <c r="B1524" s="23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  <c r="AJ1524" s="23"/>
      <c r="AK1524" s="23"/>
      <c r="AL1524" s="23"/>
      <c r="AM1524" s="23"/>
      <c r="AN1524" s="23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8"/>
      <c r="BS1524" s="8"/>
      <c r="BT1524" s="8"/>
      <c r="BU1524" s="8"/>
      <c r="BV1524" s="8"/>
      <c r="BW1524" s="8"/>
      <c r="BX1524" s="8"/>
      <c r="BY1524" s="8"/>
      <c r="BZ1524" s="8"/>
      <c r="CA1524" s="8"/>
      <c r="CB1524" s="8"/>
      <c r="CC1524" s="8"/>
      <c r="CD1524" s="8"/>
      <c r="CE1524" s="8"/>
      <c r="CF1524" s="8"/>
      <c r="CG1524" s="8"/>
      <c r="CH1524" s="8"/>
      <c r="CI1524" s="8"/>
      <c r="CJ1524" s="8"/>
      <c r="CK1524" s="8"/>
      <c r="CL1524" s="8"/>
      <c r="CM1524" s="8"/>
      <c r="CN1524" s="8"/>
      <c r="CO1524" s="8"/>
      <c r="CP1524" s="8"/>
      <c r="CQ1524" s="8"/>
      <c r="CR1524" s="8"/>
      <c r="CS1524" s="8"/>
      <c r="CT1524" s="8"/>
      <c r="CU1524" s="8"/>
      <c r="CV1524" s="8"/>
      <c r="CW1524" s="8"/>
      <c r="CX1524" s="8"/>
      <c r="CY1524" s="8"/>
      <c r="CZ1524" s="8"/>
      <c r="DA1524" s="8"/>
      <c r="DB1524" s="8"/>
      <c r="DC1524" s="8"/>
      <c r="DD1524" s="8"/>
      <c r="DE1524" s="8"/>
      <c r="DF1524" s="8"/>
      <c r="DG1524" s="8"/>
      <c r="DH1524" s="8"/>
      <c r="DI1524" s="8"/>
      <c r="DJ1524" s="8"/>
      <c r="DK1524" s="8"/>
      <c r="DL1524" s="8"/>
      <c r="DM1524" s="8"/>
      <c r="DN1524" s="8"/>
      <c r="DO1524" s="8"/>
      <c r="DP1524" s="8"/>
      <c r="DQ1524" s="8"/>
      <c r="DR1524" s="8"/>
      <c r="DS1524" s="8"/>
      <c r="DT1524" s="8"/>
      <c r="DU1524" s="8"/>
      <c r="DV1524" s="8"/>
      <c r="DW1524" s="8"/>
      <c r="DX1524" s="8"/>
      <c r="DY1524" s="8"/>
      <c r="DZ1524" s="8"/>
      <c r="EA1524" s="8"/>
      <c r="EB1524" s="8"/>
      <c r="EC1524" s="8"/>
      <c r="ED1524" s="8"/>
      <c r="EE1524" s="8"/>
      <c r="EF1524" s="8"/>
      <c r="EG1524" s="8"/>
      <c r="EH1524" s="8"/>
      <c r="EI1524" s="8"/>
      <c r="EJ1524" s="8"/>
      <c r="EK1524" s="8"/>
      <c r="EL1524" s="8"/>
      <c r="EM1524" s="8"/>
      <c r="EN1524" s="8"/>
      <c r="EO1524" s="8"/>
      <c r="EP1524" s="8"/>
      <c r="EQ1524" s="8"/>
      <c r="ER1524" s="8"/>
      <c r="ES1524" s="8"/>
      <c r="ET1524" s="8"/>
      <c r="EU1524" s="8"/>
      <c r="EV1524" s="8"/>
      <c r="EW1524" s="8"/>
      <c r="EX1524" s="8"/>
      <c r="EY1524" s="8"/>
      <c r="EZ1524" s="8"/>
      <c r="FA1524" s="8"/>
      <c r="FB1524" s="8"/>
      <c r="FC1524" s="8"/>
      <c r="FD1524" s="8"/>
      <c r="FE1524" s="8"/>
      <c r="FF1524" s="8"/>
      <c r="FG1524" s="8"/>
      <c r="FH1524" s="8"/>
      <c r="FI1524" s="8"/>
      <c r="FJ1524" s="8"/>
      <c r="FK1524" s="8"/>
      <c r="FL1524" s="8"/>
      <c r="FM1524" s="8"/>
      <c r="FN1524" s="8"/>
      <c r="FO1524" s="8"/>
      <c r="FP1524" s="8"/>
      <c r="FQ1524" s="8"/>
      <c r="FR1524" s="8"/>
      <c r="FS1524" s="8"/>
      <c r="FT1524" s="8"/>
      <c r="FU1524" s="8"/>
      <c r="FV1524" s="8"/>
      <c r="FW1524" s="8"/>
      <c r="FX1524" s="8"/>
      <c r="FY1524" s="8"/>
      <c r="FZ1524" s="8"/>
      <c r="GA1524" s="8"/>
      <c r="GB1524" s="8"/>
      <c r="GC1524" s="8"/>
      <c r="GD1524" s="8"/>
      <c r="GE1524" s="8"/>
      <c r="GF1524" s="8"/>
      <c r="GG1524" s="8"/>
      <c r="GH1524" s="8"/>
      <c r="GI1524" s="8"/>
      <c r="GJ1524" s="8"/>
      <c r="GK1524" s="8"/>
      <c r="GL1524" s="8"/>
      <c r="GM1524" s="8"/>
      <c r="GN1524" s="8"/>
      <c r="GO1524" s="8"/>
      <c r="GP1524" s="8"/>
      <c r="GQ1524" s="8"/>
      <c r="GR1524" s="8"/>
      <c r="GS1524" s="8"/>
      <c r="GT1524" s="8"/>
      <c r="GU1524" s="8"/>
      <c r="GV1524" s="8"/>
      <c r="GW1524" s="8"/>
      <c r="GX1524" s="8"/>
      <c r="GY1524" s="8"/>
      <c r="GZ1524" s="8"/>
      <c r="HA1524" s="8"/>
      <c r="HB1524" s="8"/>
      <c r="HC1524" s="8"/>
      <c r="HD1524" s="8"/>
      <c r="HE1524" s="8"/>
      <c r="HF1524" s="8"/>
      <c r="HG1524" s="8"/>
      <c r="HH1524" s="8"/>
      <c r="HI1524" s="8"/>
      <c r="HJ1524" s="8"/>
      <c r="HK1524" s="8"/>
      <c r="HL1524" s="8"/>
      <c r="HM1524" s="8"/>
      <c r="HN1524" s="8"/>
      <c r="HO1524" s="8"/>
      <c r="HP1524" s="8"/>
      <c r="HQ1524" s="8"/>
      <c r="HR1524" s="8"/>
      <c r="HS1524" s="8"/>
      <c r="HT1524" s="8"/>
      <c r="HU1524" s="8"/>
      <c r="HV1524" s="8"/>
      <c r="HW1524" s="8"/>
      <c r="HX1524" s="8"/>
      <c r="HY1524" s="8"/>
      <c r="HZ1524" s="8"/>
      <c r="IA1524" s="8"/>
      <c r="IB1524" s="8"/>
      <c r="IC1524" s="8"/>
      <c r="ID1524" s="8"/>
      <c r="IE1524" s="8"/>
      <c r="IF1524" s="8"/>
    </row>
    <row r="1525" spans="1:240">
      <c r="A1525" s="14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  <c r="AJ1525" s="23"/>
      <c r="AK1525" s="23"/>
      <c r="AL1525" s="23"/>
      <c r="AM1525" s="23"/>
      <c r="AN1525" s="23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N1525" s="8"/>
      <c r="BO1525" s="8"/>
      <c r="BP1525" s="8"/>
      <c r="BQ1525" s="8"/>
      <c r="BR1525" s="8"/>
      <c r="BS1525" s="8"/>
      <c r="BT1525" s="8"/>
      <c r="BU1525" s="8"/>
      <c r="BV1525" s="8"/>
      <c r="BW1525" s="8"/>
      <c r="BX1525" s="8"/>
      <c r="BY1525" s="8"/>
      <c r="BZ1525" s="8"/>
      <c r="CA1525" s="8"/>
      <c r="CB1525" s="8"/>
      <c r="CC1525" s="8"/>
      <c r="CD1525" s="8"/>
      <c r="CE1525" s="8"/>
      <c r="CF1525" s="8"/>
      <c r="CG1525" s="8"/>
      <c r="CH1525" s="8"/>
      <c r="CI1525" s="8"/>
      <c r="CJ1525" s="8"/>
      <c r="CK1525" s="8"/>
      <c r="CL1525" s="8"/>
      <c r="CM1525" s="8"/>
      <c r="CN1525" s="8"/>
      <c r="CO1525" s="8"/>
      <c r="CP1525" s="8"/>
      <c r="CQ1525" s="8"/>
      <c r="CR1525" s="8"/>
      <c r="CS1525" s="8"/>
      <c r="CT1525" s="8"/>
      <c r="CU1525" s="8"/>
      <c r="CV1525" s="8"/>
      <c r="CW1525" s="8"/>
      <c r="CX1525" s="8"/>
      <c r="CY1525" s="8"/>
      <c r="CZ1525" s="8"/>
      <c r="DA1525" s="8"/>
      <c r="DB1525" s="8"/>
      <c r="DC1525" s="8"/>
      <c r="DD1525" s="8"/>
      <c r="DE1525" s="8"/>
      <c r="DF1525" s="8"/>
      <c r="DG1525" s="8"/>
      <c r="DH1525" s="8"/>
      <c r="DI1525" s="8"/>
      <c r="DJ1525" s="8"/>
      <c r="DK1525" s="8"/>
      <c r="DL1525" s="8"/>
      <c r="DM1525" s="8"/>
      <c r="DN1525" s="8"/>
      <c r="DO1525" s="8"/>
      <c r="DP1525" s="8"/>
      <c r="DQ1525" s="8"/>
      <c r="DR1525" s="8"/>
      <c r="DS1525" s="8"/>
      <c r="DT1525" s="8"/>
      <c r="DU1525" s="8"/>
      <c r="DV1525" s="8"/>
      <c r="DW1525" s="8"/>
      <c r="DX1525" s="8"/>
      <c r="DY1525" s="8"/>
      <c r="DZ1525" s="8"/>
      <c r="EA1525" s="8"/>
      <c r="EB1525" s="8"/>
      <c r="EC1525" s="8"/>
      <c r="ED1525" s="8"/>
      <c r="EE1525" s="8"/>
      <c r="EF1525" s="8"/>
      <c r="EG1525" s="8"/>
      <c r="EH1525" s="8"/>
      <c r="EI1525" s="8"/>
      <c r="EJ1525" s="8"/>
      <c r="EK1525" s="8"/>
      <c r="EL1525" s="8"/>
      <c r="EM1525" s="8"/>
      <c r="EN1525" s="8"/>
      <c r="EO1525" s="8"/>
      <c r="EP1525" s="8"/>
      <c r="EQ1525" s="8"/>
      <c r="ER1525" s="8"/>
      <c r="ES1525" s="8"/>
      <c r="ET1525" s="8"/>
      <c r="EU1525" s="8"/>
      <c r="EV1525" s="8"/>
      <c r="EW1525" s="8"/>
      <c r="EX1525" s="8"/>
      <c r="EY1525" s="8"/>
      <c r="EZ1525" s="8"/>
      <c r="FA1525" s="8"/>
      <c r="FB1525" s="8"/>
      <c r="FC1525" s="8"/>
      <c r="FD1525" s="8"/>
      <c r="FE1525" s="8"/>
      <c r="FF1525" s="8"/>
      <c r="FG1525" s="8"/>
      <c r="FH1525" s="8"/>
      <c r="FI1525" s="8"/>
      <c r="FJ1525" s="8"/>
      <c r="FK1525" s="8"/>
      <c r="FL1525" s="8"/>
      <c r="FM1525" s="8"/>
      <c r="FN1525" s="8"/>
      <c r="FO1525" s="8"/>
      <c r="FP1525" s="8"/>
      <c r="FQ1525" s="8"/>
      <c r="FR1525" s="8"/>
      <c r="FS1525" s="8"/>
      <c r="FT1525" s="8"/>
      <c r="FU1525" s="8"/>
      <c r="FV1525" s="8"/>
      <c r="FW1525" s="8"/>
      <c r="FX1525" s="8"/>
      <c r="FY1525" s="8"/>
      <c r="FZ1525" s="8"/>
      <c r="GA1525" s="8"/>
      <c r="GB1525" s="8"/>
      <c r="GC1525" s="8"/>
      <c r="GD1525" s="8"/>
      <c r="GE1525" s="8"/>
      <c r="GF1525" s="8"/>
      <c r="GG1525" s="8"/>
      <c r="GH1525" s="8"/>
      <c r="GI1525" s="8"/>
      <c r="GJ1525" s="8"/>
      <c r="GK1525" s="8"/>
      <c r="GL1525" s="8"/>
      <c r="GM1525" s="8"/>
      <c r="GN1525" s="8"/>
      <c r="GO1525" s="8"/>
      <c r="GP1525" s="8"/>
      <c r="GQ1525" s="8"/>
      <c r="GR1525" s="8"/>
      <c r="GS1525" s="8"/>
      <c r="GT1525" s="8"/>
      <c r="GU1525" s="8"/>
      <c r="GV1525" s="8"/>
      <c r="GW1525" s="8"/>
      <c r="GX1525" s="8"/>
      <c r="GY1525" s="8"/>
      <c r="GZ1525" s="8"/>
      <c r="HA1525" s="8"/>
      <c r="HB1525" s="8"/>
      <c r="HC1525" s="8"/>
      <c r="HD1525" s="8"/>
      <c r="HE1525" s="8"/>
      <c r="HF1525" s="8"/>
      <c r="HG1525" s="8"/>
      <c r="HH1525" s="8"/>
      <c r="HI1525" s="8"/>
      <c r="HJ1525" s="8"/>
      <c r="HK1525" s="8"/>
      <c r="HL1525" s="8"/>
      <c r="HM1525" s="8"/>
      <c r="HN1525" s="8"/>
      <c r="HO1525" s="8"/>
      <c r="HP1525" s="8"/>
      <c r="HQ1525" s="8"/>
      <c r="HR1525" s="8"/>
      <c r="HS1525" s="8"/>
      <c r="HT1525" s="8"/>
      <c r="HU1525" s="8"/>
      <c r="HV1525" s="8"/>
      <c r="HW1525" s="8"/>
      <c r="HX1525" s="8"/>
      <c r="HY1525" s="8"/>
      <c r="HZ1525" s="8"/>
      <c r="IA1525" s="8"/>
      <c r="IB1525" s="8"/>
      <c r="IC1525" s="8"/>
      <c r="ID1525" s="8"/>
      <c r="IE1525" s="8"/>
      <c r="IF1525" s="8"/>
    </row>
    <row r="1526" spans="1:240">
      <c r="A1526" s="14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  <c r="AK1526" s="23"/>
      <c r="AL1526" s="23"/>
      <c r="AM1526" s="23"/>
      <c r="AN1526" s="23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N1526" s="8"/>
      <c r="BO1526" s="8"/>
      <c r="BP1526" s="8"/>
      <c r="BQ1526" s="8"/>
      <c r="BR1526" s="8"/>
      <c r="BS1526" s="8"/>
      <c r="BT1526" s="8"/>
      <c r="BU1526" s="8"/>
      <c r="BV1526" s="8"/>
      <c r="BW1526" s="8"/>
      <c r="BX1526" s="8"/>
      <c r="BY1526" s="8"/>
      <c r="BZ1526" s="8"/>
      <c r="CA1526" s="8"/>
      <c r="CB1526" s="8"/>
      <c r="CC1526" s="8"/>
      <c r="CD1526" s="8"/>
      <c r="CE1526" s="8"/>
      <c r="CF1526" s="8"/>
      <c r="CG1526" s="8"/>
      <c r="CH1526" s="8"/>
      <c r="CI1526" s="8"/>
      <c r="CJ1526" s="8"/>
      <c r="CK1526" s="8"/>
      <c r="CL1526" s="8"/>
      <c r="CM1526" s="8"/>
      <c r="CN1526" s="8"/>
      <c r="CO1526" s="8"/>
      <c r="CP1526" s="8"/>
      <c r="CQ1526" s="8"/>
      <c r="CR1526" s="8"/>
      <c r="CS1526" s="8"/>
      <c r="CT1526" s="8"/>
      <c r="CU1526" s="8"/>
      <c r="CV1526" s="8"/>
      <c r="CW1526" s="8"/>
      <c r="CX1526" s="8"/>
      <c r="CY1526" s="8"/>
      <c r="CZ1526" s="8"/>
      <c r="DA1526" s="8"/>
      <c r="DB1526" s="8"/>
      <c r="DC1526" s="8"/>
      <c r="DD1526" s="8"/>
      <c r="DE1526" s="8"/>
      <c r="DF1526" s="8"/>
      <c r="DG1526" s="8"/>
      <c r="DH1526" s="8"/>
      <c r="DI1526" s="8"/>
      <c r="DJ1526" s="8"/>
      <c r="DK1526" s="8"/>
      <c r="DL1526" s="8"/>
      <c r="DM1526" s="8"/>
      <c r="DN1526" s="8"/>
      <c r="DO1526" s="8"/>
      <c r="DP1526" s="8"/>
      <c r="DQ1526" s="8"/>
      <c r="DR1526" s="8"/>
      <c r="DS1526" s="8"/>
      <c r="DT1526" s="8"/>
      <c r="DU1526" s="8"/>
      <c r="DV1526" s="8"/>
      <c r="DW1526" s="8"/>
      <c r="DX1526" s="8"/>
      <c r="DY1526" s="8"/>
      <c r="DZ1526" s="8"/>
      <c r="EA1526" s="8"/>
      <c r="EB1526" s="8"/>
      <c r="EC1526" s="8"/>
      <c r="ED1526" s="8"/>
      <c r="EE1526" s="8"/>
      <c r="EF1526" s="8"/>
      <c r="EG1526" s="8"/>
      <c r="EH1526" s="8"/>
      <c r="EI1526" s="8"/>
      <c r="EJ1526" s="8"/>
      <c r="EK1526" s="8"/>
      <c r="EL1526" s="8"/>
      <c r="EM1526" s="8"/>
      <c r="EN1526" s="8"/>
      <c r="EO1526" s="8"/>
      <c r="EP1526" s="8"/>
      <c r="EQ1526" s="8"/>
      <c r="ER1526" s="8"/>
      <c r="ES1526" s="8"/>
      <c r="ET1526" s="8"/>
      <c r="EU1526" s="8"/>
      <c r="EV1526" s="8"/>
      <c r="EW1526" s="8"/>
      <c r="EX1526" s="8"/>
      <c r="EY1526" s="8"/>
      <c r="EZ1526" s="8"/>
      <c r="FA1526" s="8"/>
      <c r="FB1526" s="8"/>
      <c r="FC1526" s="8"/>
      <c r="FD1526" s="8"/>
      <c r="FE1526" s="8"/>
      <c r="FF1526" s="8"/>
      <c r="FG1526" s="8"/>
      <c r="FH1526" s="8"/>
      <c r="FI1526" s="8"/>
      <c r="FJ1526" s="8"/>
      <c r="FK1526" s="8"/>
      <c r="FL1526" s="8"/>
      <c r="FM1526" s="8"/>
      <c r="FN1526" s="8"/>
      <c r="FO1526" s="8"/>
      <c r="FP1526" s="8"/>
      <c r="FQ1526" s="8"/>
      <c r="FR1526" s="8"/>
      <c r="FS1526" s="8"/>
      <c r="FT1526" s="8"/>
      <c r="FU1526" s="8"/>
      <c r="FV1526" s="8"/>
      <c r="FW1526" s="8"/>
      <c r="FX1526" s="8"/>
      <c r="FY1526" s="8"/>
      <c r="FZ1526" s="8"/>
      <c r="GA1526" s="8"/>
      <c r="GB1526" s="8"/>
      <c r="GC1526" s="8"/>
      <c r="GD1526" s="8"/>
      <c r="GE1526" s="8"/>
      <c r="GF1526" s="8"/>
      <c r="GG1526" s="8"/>
      <c r="GH1526" s="8"/>
      <c r="GI1526" s="8"/>
      <c r="GJ1526" s="8"/>
      <c r="GK1526" s="8"/>
      <c r="GL1526" s="8"/>
      <c r="GM1526" s="8"/>
      <c r="GN1526" s="8"/>
      <c r="GO1526" s="8"/>
      <c r="GP1526" s="8"/>
      <c r="GQ1526" s="8"/>
      <c r="GR1526" s="8"/>
      <c r="GS1526" s="8"/>
      <c r="GT1526" s="8"/>
      <c r="GU1526" s="8"/>
      <c r="GV1526" s="8"/>
      <c r="GW1526" s="8"/>
      <c r="GX1526" s="8"/>
      <c r="GY1526" s="8"/>
      <c r="GZ1526" s="8"/>
      <c r="HA1526" s="8"/>
      <c r="HB1526" s="8"/>
      <c r="HC1526" s="8"/>
      <c r="HD1526" s="8"/>
      <c r="HE1526" s="8"/>
      <c r="HF1526" s="8"/>
      <c r="HG1526" s="8"/>
      <c r="HH1526" s="8"/>
      <c r="HI1526" s="8"/>
      <c r="HJ1526" s="8"/>
      <c r="HK1526" s="8"/>
      <c r="HL1526" s="8"/>
      <c r="HM1526" s="8"/>
      <c r="HN1526" s="8"/>
      <c r="HO1526" s="8"/>
      <c r="HP1526" s="8"/>
      <c r="HQ1526" s="8"/>
      <c r="HR1526" s="8"/>
      <c r="HS1526" s="8"/>
      <c r="HT1526" s="8"/>
      <c r="HU1526" s="8"/>
      <c r="HV1526" s="8"/>
      <c r="HW1526" s="8"/>
      <c r="HX1526" s="8"/>
      <c r="HY1526" s="8"/>
      <c r="HZ1526" s="8"/>
      <c r="IA1526" s="8"/>
      <c r="IB1526" s="8"/>
      <c r="IC1526" s="8"/>
      <c r="ID1526" s="8"/>
      <c r="IE1526" s="8"/>
      <c r="IF1526" s="8"/>
    </row>
    <row r="1527" spans="1:240">
      <c r="A1527" s="14"/>
      <c r="B1527" s="23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  <c r="AJ1527" s="23"/>
      <c r="AK1527" s="23"/>
      <c r="AL1527" s="23"/>
      <c r="AM1527" s="23"/>
      <c r="AN1527" s="23"/>
      <c r="AO1527" s="8"/>
      <c r="AP1527" s="8"/>
      <c r="AQ1527" s="8"/>
      <c r="AR1527" s="8"/>
      <c r="AS1527" s="8"/>
      <c r="AT1527" s="8"/>
      <c r="AU1527" s="8"/>
      <c r="AV1527" s="8"/>
      <c r="AW1527" s="8"/>
      <c r="AX1527" s="8"/>
      <c r="AY1527" s="8"/>
      <c r="AZ1527" s="8"/>
      <c r="BA1527" s="8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8"/>
      <c r="BS1527" s="8"/>
      <c r="BT1527" s="8"/>
      <c r="BU1527" s="8"/>
      <c r="BV1527" s="8"/>
      <c r="BW1527" s="8"/>
      <c r="BX1527" s="8"/>
      <c r="BY1527" s="8"/>
      <c r="BZ1527" s="8"/>
      <c r="CA1527" s="8"/>
      <c r="CB1527" s="8"/>
      <c r="CC1527" s="8"/>
      <c r="CD1527" s="8"/>
      <c r="CE1527" s="8"/>
      <c r="CF1527" s="8"/>
      <c r="CG1527" s="8"/>
      <c r="CH1527" s="8"/>
      <c r="CI1527" s="8"/>
      <c r="CJ1527" s="8"/>
      <c r="CK1527" s="8"/>
      <c r="CL1527" s="8"/>
      <c r="CM1527" s="8"/>
      <c r="CN1527" s="8"/>
      <c r="CO1527" s="8"/>
      <c r="CP1527" s="8"/>
      <c r="CQ1527" s="8"/>
      <c r="CR1527" s="8"/>
      <c r="CS1527" s="8"/>
      <c r="CT1527" s="8"/>
      <c r="CU1527" s="8"/>
      <c r="CV1527" s="8"/>
      <c r="CW1527" s="8"/>
      <c r="CX1527" s="8"/>
      <c r="CY1527" s="8"/>
      <c r="CZ1527" s="8"/>
      <c r="DA1527" s="8"/>
      <c r="DB1527" s="8"/>
      <c r="DC1527" s="8"/>
      <c r="DD1527" s="8"/>
      <c r="DE1527" s="8"/>
      <c r="DF1527" s="8"/>
      <c r="DG1527" s="8"/>
      <c r="DH1527" s="8"/>
      <c r="DI1527" s="8"/>
      <c r="DJ1527" s="8"/>
      <c r="DK1527" s="8"/>
      <c r="DL1527" s="8"/>
      <c r="DM1527" s="8"/>
      <c r="DN1527" s="8"/>
      <c r="DO1527" s="8"/>
      <c r="DP1527" s="8"/>
      <c r="DQ1527" s="8"/>
      <c r="DR1527" s="8"/>
      <c r="DS1527" s="8"/>
      <c r="DT1527" s="8"/>
      <c r="DU1527" s="8"/>
      <c r="DV1527" s="8"/>
      <c r="DW1527" s="8"/>
      <c r="DX1527" s="8"/>
      <c r="DY1527" s="8"/>
      <c r="DZ1527" s="8"/>
      <c r="EA1527" s="8"/>
      <c r="EB1527" s="8"/>
      <c r="EC1527" s="8"/>
      <c r="ED1527" s="8"/>
      <c r="EE1527" s="8"/>
      <c r="EF1527" s="8"/>
      <c r="EG1527" s="8"/>
      <c r="EH1527" s="8"/>
      <c r="EI1527" s="8"/>
      <c r="EJ1527" s="8"/>
      <c r="EK1527" s="8"/>
      <c r="EL1527" s="8"/>
      <c r="EM1527" s="8"/>
      <c r="EN1527" s="8"/>
      <c r="EO1527" s="8"/>
      <c r="EP1527" s="8"/>
      <c r="EQ1527" s="8"/>
      <c r="ER1527" s="8"/>
      <c r="ES1527" s="8"/>
      <c r="ET1527" s="8"/>
      <c r="EU1527" s="8"/>
      <c r="EV1527" s="8"/>
      <c r="EW1527" s="8"/>
      <c r="EX1527" s="8"/>
      <c r="EY1527" s="8"/>
      <c r="EZ1527" s="8"/>
      <c r="FA1527" s="8"/>
      <c r="FB1527" s="8"/>
      <c r="FC1527" s="8"/>
      <c r="FD1527" s="8"/>
      <c r="FE1527" s="8"/>
      <c r="FF1527" s="8"/>
      <c r="FG1527" s="8"/>
      <c r="FH1527" s="8"/>
      <c r="FI1527" s="8"/>
      <c r="FJ1527" s="8"/>
      <c r="FK1527" s="8"/>
      <c r="FL1527" s="8"/>
      <c r="FM1527" s="8"/>
      <c r="FN1527" s="8"/>
      <c r="FO1527" s="8"/>
      <c r="FP1527" s="8"/>
      <c r="FQ1527" s="8"/>
      <c r="FR1527" s="8"/>
      <c r="FS1527" s="8"/>
      <c r="FT1527" s="8"/>
      <c r="FU1527" s="8"/>
      <c r="FV1527" s="8"/>
      <c r="FW1527" s="8"/>
      <c r="FX1527" s="8"/>
      <c r="FY1527" s="8"/>
      <c r="FZ1527" s="8"/>
      <c r="GA1527" s="8"/>
      <c r="GB1527" s="8"/>
      <c r="GC1527" s="8"/>
      <c r="GD1527" s="8"/>
      <c r="GE1527" s="8"/>
      <c r="GF1527" s="8"/>
      <c r="GG1527" s="8"/>
      <c r="GH1527" s="8"/>
      <c r="GI1527" s="8"/>
      <c r="GJ1527" s="8"/>
      <c r="GK1527" s="8"/>
      <c r="GL1527" s="8"/>
      <c r="GM1527" s="8"/>
      <c r="GN1527" s="8"/>
      <c r="GO1527" s="8"/>
      <c r="GP1527" s="8"/>
      <c r="GQ1527" s="8"/>
      <c r="GR1527" s="8"/>
      <c r="GS1527" s="8"/>
      <c r="GT1527" s="8"/>
      <c r="GU1527" s="8"/>
      <c r="GV1527" s="8"/>
      <c r="GW1527" s="8"/>
      <c r="GX1527" s="8"/>
      <c r="GY1527" s="8"/>
      <c r="GZ1527" s="8"/>
      <c r="HA1527" s="8"/>
      <c r="HB1527" s="8"/>
      <c r="HC1527" s="8"/>
      <c r="HD1527" s="8"/>
      <c r="HE1527" s="8"/>
      <c r="HF1527" s="8"/>
      <c r="HG1527" s="8"/>
      <c r="HH1527" s="8"/>
      <c r="HI1527" s="8"/>
      <c r="HJ1527" s="8"/>
      <c r="HK1527" s="8"/>
      <c r="HL1527" s="8"/>
      <c r="HM1527" s="8"/>
      <c r="HN1527" s="8"/>
      <c r="HO1527" s="8"/>
      <c r="HP1527" s="8"/>
      <c r="HQ1527" s="8"/>
      <c r="HR1527" s="8"/>
      <c r="HS1527" s="8"/>
      <c r="HT1527" s="8"/>
      <c r="HU1527" s="8"/>
      <c r="HV1527" s="8"/>
      <c r="HW1527" s="8"/>
      <c r="HX1527" s="8"/>
      <c r="HY1527" s="8"/>
      <c r="HZ1527" s="8"/>
      <c r="IA1527" s="8"/>
      <c r="IB1527" s="8"/>
      <c r="IC1527" s="8"/>
      <c r="ID1527" s="8"/>
      <c r="IE1527" s="8"/>
      <c r="IF1527" s="8"/>
    </row>
    <row r="1528" spans="1:240">
      <c r="A1528" s="14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8"/>
      <c r="BS1528" s="8"/>
      <c r="BT1528" s="8"/>
      <c r="BU1528" s="8"/>
      <c r="BV1528" s="8"/>
      <c r="BW1528" s="8"/>
      <c r="BX1528" s="8"/>
      <c r="BY1528" s="8"/>
      <c r="BZ1528" s="8"/>
      <c r="CA1528" s="8"/>
      <c r="CB1528" s="8"/>
      <c r="CC1528" s="8"/>
      <c r="CD1528" s="8"/>
      <c r="CE1528" s="8"/>
      <c r="CF1528" s="8"/>
      <c r="CG1528" s="8"/>
      <c r="CH1528" s="8"/>
      <c r="CI1528" s="8"/>
      <c r="CJ1528" s="8"/>
      <c r="CK1528" s="8"/>
      <c r="CL1528" s="8"/>
      <c r="CM1528" s="8"/>
      <c r="CN1528" s="8"/>
      <c r="CO1528" s="8"/>
      <c r="CP1528" s="8"/>
      <c r="CQ1528" s="8"/>
      <c r="CR1528" s="8"/>
      <c r="CS1528" s="8"/>
      <c r="CT1528" s="8"/>
      <c r="CU1528" s="8"/>
      <c r="CV1528" s="8"/>
      <c r="CW1528" s="8"/>
      <c r="CX1528" s="8"/>
      <c r="CY1528" s="8"/>
      <c r="CZ1528" s="8"/>
      <c r="DA1528" s="8"/>
      <c r="DB1528" s="8"/>
      <c r="DC1528" s="8"/>
      <c r="DD1528" s="8"/>
      <c r="DE1528" s="8"/>
      <c r="DF1528" s="8"/>
      <c r="DG1528" s="8"/>
      <c r="DH1528" s="8"/>
      <c r="DI1528" s="8"/>
      <c r="DJ1528" s="8"/>
      <c r="DK1528" s="8"/>
      <c r="DL1528" s="8"/>
      <c r="DM1528" s="8"/>
      <c r="DN1528" s="8"/>
      <c r="DO1528" s="8"/>
      <c r="DP1528" s="8"/>
      <c r="DQ1528" s="8"/>
      <c r="DR1528" s="8"/>
      <c r="DS1528" s="8"/>
      <c r="DT1528" s="8"/>
      <c r="DU1528" s="8"/>
      <c r="DV1528" s="8"/>
      <c r="DW1528" s="8"/>
      <c r="DX1528" s="8"/>
      <c r="DY1528" s="8"/>
      <c r="DZ1528" s="8"/>
      <c r="EA1528" s="8"/>
      <c r="EB1528" s="8"/>
      <c r="EC1528" s="8"/>
      <c r="ED1528" s="8"/>
      <c r="EE1528" s="8"/>
      <c r="EF1528" s="8"/>
      <c r="EG1528" s="8"/>
      <c r="EH1528" s="8"/>
      <c r="EI1528" s="8"/>
      <c r="EJ1528" s="8"/>
      <c r="EK1528" s="8"/>
      <c r="EL1528" s="8"/>
      <c r="EM1528" s="8"/>
      <c r="EN1528" s="8"/>
      <c r="EO1528" s="8"/>
      <c r="EP1528" s="8"/>
      <c r="EQ1528" s="8"/>
      <c r="ER1528" s="8"/>
      <c r="ES1528" s="8"/>
      <c r="ET1528" s="8"/>
      <c r="EU1528" s="8"/>
      <c r="EV1528" s="8"/>
      <c r="EW1528" s="8"/>
      <c r="EX1528" s="8"/>
      <c r="EY1528" s="8"/>
      <c r="EZ1528" s="8"/>
      <c r="FA1528" s="8"/>
      <c r="FB1528" s="8"/>
      <c r="FC1528" s="8"/>
      <c r="FD1528" s="8"/>
      <c r="FE1528" s="8"/>
      <c r="FF1528" s="8"/>
      <c r="FG1528" s="8"/>
      <c r="FH1528" s="8"/>
      <c r="FI1528" s="8"/>
      <c r="FJ1528" s="8"/>
      <c r="FK1528" s="8"/>
      <c r="FL1528" s="8"/>
      <c r="FM1528" s="8"/>
      <c r="FN1528" s="8"/>
      <c r="FO1528" s="8"/>
      <c r="FP1528" s="8"/>
      <c r="FQ1528" s="8"/>
      <c r="FR1528" s="8"/>
      <c r="FS1528" s="8"/>
      <c r="FT1528" s="8"/>
      <c r="FU1528" s="8"/>
      <c r="FV1528" s="8"/>
      <c r="FW1528" s="8"/>
      <c r="FX1528" s="8"/>
      <c r="FY1528" s="8"/>
      <c r="FZ1528" s="8"/>
      <c r="GA1528" s="8"/>
      <c r="GB1528" s="8"/>
      <c r="GC1528" s="8"/>
      <c r="GD1528" s="8"/>
      <c r="GE1528" s="8"/>
      <c r="GF1528" s="8"/>
      <c r="GG1528" s="8"/>
      <c r="GH1528" s="8"/>
      <c r="GI1528" s="8"/>
      <c r="GJ1528" s="8"/>
      <c r="GK1528" s="8"/>
      <c r="GL1528" s="8"/>
      <c r="GM1528" s="8"/>
      <c r="GN1528" s="8"/>
      <c r="GO1528" s="8"/>
      <c r="GP1528" s="8"/>
      <c r="GQ1528" s="8"/>
      <c r="GR1528" s="8"/>
      <c r="GS1528" s="8"/>
      <c r="GT1528" s="8"/>
      <c r="GU1528" s="8"/>
      <c r="GV1528" s="8"/>
      <c r="GW1528" s="8"/>
      <c r="GX1528" s="8"/>
      <c r="GY1528" s="8"/>
      <c r="GZ1528" s="8"/>
      <c r="HA1528" s="8"/>
      <c r="HB1528" s="8"/>
      <c r="HC1528" s="8"/>
      <c r="HD1528" s="8"/>
      <c r="HE1528" s="8"/>
      <c r="HF1528" s="8"/>
      <c r="HG1528" s="8"/>
      <c r="HH1528" s="8"/>
      <c r="HI1528" s="8"/>
      <c r="HJ1528" s="8"/>
      <c r="HK1528" s="8"/>
      <c r="HL1528" s="8"/>
      <c r="HM1528" s="8"/>
      <c r="HN1528" s="8"/>
      <c r="HO1528" s="8"/>
      <c r="HP1528" s="8"/>
      <c r="HQ1528" s="8"/>
      <c r="HR1528" s="8"/>
      <c r="HS1528" s="8"/>
      <c r="HT1528" s="8"/>
      <c r="HU1528" s="8"/>
      <c r="HV1528" s="8"/>
      <c r="HW1528" s="8"/>
      <c r="HX1528" s="8"/>
      <c r="HY1528" s="8"/>
      <c r="HZ1528" s="8"/>
      <c r="IA1528" s="8"/>
      <c r="IB1528" s="8"/>
      <c r="IC1528" s="8"/>
      <c r="ID1528" s="8"/>
      <c r="IE1528" s="8"/>
      <c r="IF1528" s="8"/>
    </row>
    <row r="1529" spans="1:240">
      <c r="A1529" s="14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N1529" s="8"/>
      <c r="BO1529" s="8"/>
      <c r="BP1529" s="8"/>
      <c r="BQ1529" s="8"/>
      <c r="BR1529" s="8"/>
      <c r="BS1529" s="8"/>
      <c r="BT1529" s="8"/>
      <c r="BU1529" s="8"/>
      <c r="BV1529" s="8"/>
      <c r="BW1529" s="8"/>
      <c r="BX1529" s="8"/>
      <c r="BY1529" s="8"/>
      <c r="BZ1529" s="8"/>
      <c r="CA1529" s="8"/>
      <c r="CB1529" s="8"/>
      <c r="CC1529" s="8"/>
      <c r="CD1529" s="8"/>
      <c r="CE1529" s="8"/>
      <c r="CF1529" s="8"/>
      <c r="CG1529" s="8"/>
      <c r="CH1529" s="8"/>
      <c r="CI1529" s="8"/>
      <c r="CJ1529" s="8"/>
      <c r="CK1529" s="8"/>
      <c r="CL1529" s="8"/>
      <c r="CM1529" s="8"/>
      <c r="CN1529" s="8"/>
      <c r="CO1529" s="8"/>
      <c r="CP1529" s="8"/>
      <c r="CQ1529" s="8"/>
      <c r="CR1529" s="8"/>
      <c r="CS1529" s="8"/>
      <c r="CT1529" s="8"/>
      <c r="CU1529" s="8"/>
      <c r="CV1529" s="8"/>
      <c r="CW1529" s="8"/>
      <c r="CX1529" s="8"/>
      <c r="CY1529" s="8"/>
      <c r="CZ1529" s="8"/>
      <c r="DA1529" s="8"/>
      <c r="DB1529" s="8"/>
      <c r="DC1529" s="8"/>
      <c r="DD1529" s="8"/>
      <c r="DE1529" s="8"/>
      <c r="DF1529" s="8"/>
      <c r="DG1529" s="8"/>
      <c r="DH1529" s="8"/>
      <c r="DI1529" s="8"/>
      <c r="DJ1529" s="8"/>
      <c r="DK1529" s="8"/>
      <c r="DL1529" s="8"/>
      <c r="DM1529" s="8"/>
      <c r="DN1529" s="8"/>
      <c r="DO1529" s="8"/>
      <c r="DP1529" s="8"/>
      <c r="DQ1529" s="8"/>
      <c r="DR1529" s="8"/>
      <c r="DS1529" s="8"/>
      <c r="DT1529" s="8"/>
      <c r="DU1529" s="8"/>
      <c r="DV1529" s="8"/>
      <c r="DW1529" s="8"/>
      <c r="DX1529" s="8"/>
      <c r="DY1529" s="8"/>
      <c r="DZ1529" s="8"/>
      <c r="EA1529" s="8"/>
      <c r="EB1529" s="8"/>
      <c r="EC1529" s="8"/>
      <c r="ED1529" s="8"/>
      <c r="EE1529" s="8"/>
      <c r="EF1529" s="8"/>
      <c r="EG1529" s="8"/>
      <c r="EH1529" s="8"/>
      <c r="EI1529" s="8"/>
      <c r="EJ1529" s="8"/>
      <c r="EK1529" s="8"/>
      <c r="EL1529" s="8"/>
      <c r="EM1529" s="8"/>
      <c r="EN1529" s="8"/>
      <c r="EO1529" s="8"/>
      <c r="EP1529" s="8"/>
      <c r="EQ1529" s="8"/>
      <c r="ER1529" s="8"/>
      <c r="ES1529" s="8"/>
      <c r="ET1529" s="8"/>
      <c r="EU1529" s="8"/>
      <c r="EV1529" s="8"/>
      <c r="EW1529" s="8"/>
      <c r="EX1529" s="8"/>
      <c r="EY1529" s="8"/>
      <c r="EZ1529" s="8"/>
      <c r="FA1529" s="8"/>
      <c r="FB1529" s="8"/>
      <c r="FC1529" s="8"/>
      <c r="FD1529" s="8"/>
      <c r="FE1529" s="8"/>
      <c r="FF1529" s="8"/>
      <c r="FG1529" s="8"/>
      <c r="FH1529" s="8"/>
      <c r="FI1529" s="8"/>
      <c r="FJ1529" s="8"/>
      <c r="FK1529" s="8"/>
      <c r="FL1529" s="8"/>
      <c r="FM1529" s="8"/>
      <c r="FN1529" s="8"/>
      <c r="FO1529" s="8"/>
      <c r="FP1529" s="8"/>
      <c r="FQ1529" s="8"/>
      <c r="FR1529" s="8"/>
      <c r="FS1529" s="8"/>
      <c r="FT1529" s="8"/>
      <c r="FU1529" s="8"/>
      <c r="FV1529" s="8"/>
      <c r="FW1529" s="8"/>
      <c r="FX1529" s="8"/>
      <c r="FY1529" s="8"/>
      <c r="FZ1529" s="8"/>
      <c r="GA1529" s="8"/>
      <c r="GB1529" s="8"/>
      <c r="GC1529" s="8"/>
      <c r="GD1529" s="8"/>
      <c r="GE1529" s="8"/>
      <c r="GF1529" s="8"/>
      <c r="GG1529" s="8"/>
      <c r="GH1529" s="8"/>
      <c r="GI1529" s="8"/>
      <c r="GJ1529" s="8"/>
      <c r="GK1529" s="8"/>
      <c r="GL1529" s="8"/>
      <c r="GM1529" s="8"/>
      <c r="GN1529" s="8"/>
      <c r="GO1529" s="8"/>
      <c r="GP1529" s="8"/>
      <c r="GQ1529" s="8"/>
      <c r="GR1529" s="8"/>
      <c r="GS1529" s="8"/>
      <c r="GT1529" s="8"/>
      <c r="GU1529" s="8"/>
      <c r="GV1529" s="8"/>
      <c r="GW1529" s="8"/>
      <c r="GX1529" s="8"/>
      <c r="GY1529" s="8"/>
      <c r="GZ1529" s="8"/>
      <c r="HA1529" s="8"/>
      <c r="HB1529" s="8"/>
      <c r="HC1529" s="8"/>
      <c r="HD1529" s="8"/>
      <c r="HE1529" s="8"/>
      <c r="HF1529" s="8"/>
      <c r="HG1529" s="8"/>
      <c r="HH1529" s="8"/>
      <c r="HI1529" s="8"/>
      <c r="HJ1529" s="8"/>
      <c r="HK1529" s="8"/>
      <c r="HL1529" s="8"/>
      <c r="HM1529" s="8"/>
      <c r="HN1529" s="8"/>
      <c r="HO1529" s="8"/>
      <c r="HP1529" s="8"/>
      <c r="HQ1529" s="8"/>
      <c r="HR1529" s="8"/>
      <c r="HS1529" s="8"/>
      <c r="HT1529" s="8"/>
      <c r="HU1529" s="8"/>
      <c r="HV1529" s="8"/>
      <c r="HW1529" s="8"/>
      <c r="HX1529" s="8"/>
      <c r="HY1529" s="8"/>
      <c r="HZ1529" s="8"/>
      <c r="IA1529" s="8"/>
      <c r="IB1529" s="8"/>
      <c r="IC1529" s="8"/>
      <c r="ID1529" s="8"/>
      <c r="IE1529" s="8"/>
      <c r="IF1529" s="8"/>
    </row>
    <row r="1530" spans="1:240">
      <c r="A1530" s="14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  <c r="AJ1530" s="23"/>
      <c r="AK1530" s="23"/>
      <c r="AL1530" s="23"/>
      <c r="AM1530" s="23"/>
      <c r="AN1530" s="23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8"/>
      <c r="BS1530" s="8"/>
      <c r="BT1530" s="8"/>
      <c r="BU1530" s="8"/>
      <c r="BV1530" s="8"/>
      <c r="BW1530" s="8"/>
      <c r="BX1530" s="8"/>
      <c r="BY1530" s="8"/>
      <c r="BZ1530" s="8"/>
      <c r="CA1530" s="8"/>
      <c r="CB1530" s="8"/>
      <c r="CC1530" s="8"/>
      <c r="CD1530" s="8"/>
      <c r="CE1530" s="8"/>
      <c r="CF1530" s="8"/>
      <c r="CG1530" s="8"/>
      <c r="CH1530" s="8"/>
      <c r="CI1530" s="8"/>
      <c r="CJ1530" s="8"/>
      <c r="CK1530" s="8"/>
      <c r="CL1530" s="8"/>
      <c r="CM1530" s="8"/>
      <c r="CN1530" s="8"/>
      <c r="CO1530" s="8"/>
      <c r="CP1530" s="8"/>
      <c r="CQ1530" s="8"/>
      <c r="CR1530" s="8"/>
      <c r="CS1530" s="8"/>
      <c r="CT1530" s="8"/>
      <c r="CU1530" s="8"/>
      <c r="CV1530" s="8"/>
      <c r="CW1530" s="8"/>
      <c r="CX1530" s="8"/>
      <c r="CY1530" s="8"/>
      <c r="CZ1530" s="8"/>
      <c r="DA1530" s="8"/>
      <c r="DB1530" s="8"/>
      <c r="DC1530" s="8"/>
      <c r="DD1530" s="8"/>
      <c r="DE1530" s="8"/>
      <c r="DF1530" s="8"/>
      <c r="DG1530" s="8"/>
      <c r="DH1530" s="8"/>
      <c r="DI1530" s="8"/>
      <c r="DJ1530" s="8"/>
      <c r="DK1530" s="8"/>
      <c r="DL1530" s="8"/>
      <c r="DM1530" s="8"/>
      <c r="DN1530" s="8"/>
      <c r="DO1530" s="8"/>
      <c r="DP1530" s="8"/>
      <c r="DQ1530" s="8"/>
      <c r="DR1530" s="8"/>
      <c r="DS1530" s="8"/>
      <c r="DT1530" s="8"/>
      <c r="DU1530" s="8"/>
      <c r="DV1530" s="8"/>
      <c r="DW1530" s="8"/>
      <c r="DX1530" s="8"/>
      <c r="DY1530" s="8"/>
      <c r="DZ1530" s="8"/>
      <c r="EA1530" s="8"/>
      <c r="EB1530" s="8"/>
      <c r="EC1530" s="8"/>
      <c r="ED1530" s="8"/>
      <c r="EE1530" s="8"/>
      <c r="EF1530" s="8"/>
      <c r="EG1530" s="8"/>
      <c r="EH1530" s="8"/>
      <c r="EI1530" s="8"/>
      <c r="EJ1530" s="8"/>
      <c r="EK1530" s="8"/>
      <c r="EL1530" s="8"/>
      <c r="EM1530" s="8"/>
      <c r="EN1530" s="8"/>
      <c r="EO1530" s="8"/>
      <c r="EP1530" s="8"/>
      <c r="EQ1530" s="8"/>
      <c r="ER1530" s="8"/>
      <c r="ES1530" s="8"/>
      <c r="ET1530" s="8"/>
      <c r="EU1530" s="8"/>
      <c r="EV1530" s="8"/>
      <c r="EW1530" s="8"/>
      <c r="EX1530" s="8"/>
      <c r="EY1530" s="8"/>
      <c r="EZ1530" s="8"/>
      <c r="FA1530" s="8"/>
      <c r="FB1530" s="8"/>
      <c r="FC1530" s="8"/>
      <c r="FD1530" s="8"/>
      <c r="FE1530" s="8"/>
      <c r="FF1530" s="8"/>
      <c r="FG1530" s="8"/>
      <c r="FH1530" s="8"/>
      <c r="FI1530" s="8"/>
      <c r="FJ1530" s="8"/>
      <c r="FK1530" s="8"/>
      <c r="FL1530" s="8"/>
      <c r="FM1530" s="8"/>
      <c r="FN1530" s="8"/>
      <c r="FO1530" s="8"/>
      <c r="FP1530" s="8"/>
      <c r="FQ1530" s="8"/>
      <c r="FR1530" s="8"/>
      <c r="FS1530" s="8"/>
      <c r="FT1530" s="8"/>
      <c r="FU1530" s="8"/>
      <c r="FV1530" s="8"/>
      <c r="FW1530" s="8"/>
      <c r="FX1530" s="8"/>
      <c r="FY1530" s="8"/>
      <c r="FZ1530" s="8"/>
      <c r="GA1530" s="8"/>
      <c r="GB1530" s="8"/>
      <c r="GC1530" s="8"/>
      <c r="GD1530" s="8"/>
      <c r="GE1530" s="8"/>
      <c r="GF1530" s="8"/>
      <c r="GG1530" s="8"/>
      <c r="GH1530" s="8"/>
      <c r="GI1530" s="8"/>
      <c r="GJ1530" s="8"/>
      <c r="GK1530" s="8"/>
      <c r="GL1530" s="8"/>
      <c r="GM1530" s="8"/>
      <c r="GN1530" s="8"/>
      <c r="GO1530" s="8"/>
      <c r="GP1530" s="8"/>
      <c r="GQ1530" s="8"/>
      <c r="GR1530" s="8"/>
      <c r="GS1530" s="8"/>
      <c r="GT1530" s="8"/>
      <c r="GU1530" s="8"/>
      <c r="GV1530" s="8"/>
      <c r="GW1530" s="8"/>
      <c r="GX1530" s="8"/>
      <c r="GY1530" s="8"/>
      <c r="GZ1530" s="8"/>
      <c r="HA1530" s="8"/>
      <c r="HB1530" s="8"/>
      <c r="HC1530" s="8"/>
      <c r="HD1530" s="8"/>
      <c r="HE1530" s="8"/>
      <c r="HF1530" s="8"/>
      <c r="HG1530" s="8"/>
      <c r="HH1530" s="8"/>
      <c r="HI1530" s="8"/>
      <c r="HJ1530" s="8"/>
      <c r="HK1530" s="8"/>
      <c r="HL1530" s="8"/>
      <c r="HM1530" s="8"/>
      <c r="HN1530" s="8"/>
      <c r="HO1530" s="8"/>
      <c r="HP1530" s="8"/>
      <c r="HQ1530" s="8"/>
      <c r="HR1530" s="8"/>
      <c r="HS1530" s="8"/>
      <c r="HT1530" s="8"/>
      <c r="HU1530" s="8"/>
      <c r="HV1530" s="8"/>
      <c r="HW1530" s="8"/>
      <c r="HX1530" s="8"/>
      <c r="HY1530" s="8"/>
      <c r="HZ1530" s="8"/>
      <c r="IA1530" s="8"/>
      <c r="IB1530" s="8"/>
      <c r="IC1530" s="8"/>
      <c r="ID1530" s="8"/>
      <c r="IE1530" s="8"/>
      <c r="IF1530" s="8"/>
    </row>
    <row r="1531" spans="1:240">
      <c r="A1531" s="14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3"/>
      <c r="AB1531" s="23"/>
      <c r="AC1531" s="23"/>
      <c r="AD1531" s="23"/>
      <c r="AE1531" s="23"/>
      <c r="AF1531" s="23"/>
      <c r="AG1531" s="23"/>
      <c r="AH1531" s="23"/>
      <c r="AI1531" s="23"/>
      <c r="AJ1531" s="23"/>
      <c r="AK1531" s="23"/>
      <c r="AL1531" s="23"/>
      <c r="AM1531" s="23"/>
      <c r="AN1531" s="23"/>
      <c r="AO1531" s="8"/>
      <c r="AP1531" s="8"/>
      <c r="AQ1531" s="8"/>
      <c r="AR1531" s="8"/>
      <c r="AS1531" s="8"/>
      <c r="AT1531" s="8"/>
      <c r="AU1531" s="8"/>
      <c r="AV1531" s="8"/>
      <c r="AW1531" s="8"/>
      <c r="AX1531" s="8"/>
      <c r="AY1531" s="8"/>
      <c r="AZ1531" s="8"/>
      <c r="BA1531" s="8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8"/>
      <c r="BS1531" s="8"/>
      <c r="BT1531" s="8"/>
      <c r="BU1531" s="8"/>
      <c r="BV1531" s="8"/>
      <c r="BW1531" s="8"/>
      <c r="BX1531" s="8"/>
      <c r="BY1531" s="8"/>
      <c r="BZ1531" s="8"/>
      <c r="CA1531" s="8"/>
      <c r="CB1531" s="8"/>
      <c r="CC1531" s="8"/>
      <c r="CD1531" s="8"/>
      <c r="CE1531" s="8"/>
      <c r="CF1531" s="8"/>
      <c r="CG1531" s="8"/>
      <c r="CH1531" s="8"/>
      <c r="CI1531" s="8"/>
      <c r="CJ1531" s="8"/>
      <c r="CK1531" s="8"/>
      <c r="CL1531" s="8"/>
      <c r="CM1531" s="8"/>
      <c r="CN1531" s="8"/>
      <c r="CO1531" s="8"/>
      <c r="CP1531" s="8"/>
      <c r="CQ1531" s="8"/>
      <c r="CR1531" s="8"/>
      <c r="CS1531" s="8"/>
      <c r="CT1531" s="8"/>
      <c r="CU1531" s="8"/>
      <c r="CV1531" s="8"/>
      <c r="CW1531" s="8"/>
      <c r="CX1531" s="8"/>
      <c r="CY1531" s="8"/>
      <c r="CZ1531" s="8"/>
      <c r="DA1531" s="8"/>
      <c r="DB1531" s="8"/>
      <c r="DC1531" s="8"/>
      <c r="DD1531" s="8"/>
      <c r="DE1531" s="8"/>
      <c r="DF1531" s="8"/>
      <c r="DG1531" s="8"/>
      <c r="DH1531" s="8"/>
      <c r="DI1531" s="8"/>
      <c r="DJ1531" s="8"/>
      <c r="DK1531" s="8"/>
      <c r="DL1531" s="8"/>
      <c r="DM1531" s="8"/>
      <c r="DN1531" s="8"/>
      <c r="DO1531" s="8"/>
      <c r="DP1531" s="8"/>
      <c r="DQ1531" s="8"/>
      <c r="DR1531" s="8"/>
      <c r="DS1531" s="8"/>
      <c r="DT1531" s="8"/>
      <c r="DU1531" s="8"/>
      <c r="DV1531" s="8"/>
      <c r="DW1531" s="8"/>
      <c r="DX1531" s="8"/>
      <c r="DY1531" s="8"/>
      <c r="DZ1531" s="8"/>
      <c r="EA1531" s="8"/>
      <c r="EB1531" s="8"/>
      <c r="EC1531" s="8"/>
      <c r="ED1531" s="8"/>
      <c r="EE1531" s="8"/>
      <c r="EF1531" s="8"/>
      <c r="EG1531" s="8"/>
      <c r="EH1531" s="8"/>
      <c r="EI1531" s="8"/>
      <c r="EJ1531" s="8"/>
      <c r="EK1531" s="8"/>
      <c r="EL1531" s="8"/>
      <c r="EM1531" s="8"/>
      <c r="EN1531" s="8"/>
      <c r="EO1531" s="8"/>
      <c r="EP1531" s="8"/>
      <c r="EQ1531" s="8"/>
      <c r="ER1531" s="8"/>
      <c r="ES1531" s="8"/>
      <c r="ET1531" s="8"/>
      <c r="EU1531" s="8"/>
      <c r="EV1531" s="8"/>
      <c r="EW1531" s="8"/>
      <c r="EX1531" s="8"/>
      <c r="EY1531" s="8"/>
      <c r="EZ1531" s="8"/>
      <c r="FA1531" s="8"/>
      <c r="FB1531" s="8"/>
      <c r="FC1531" s="8"/>
      <c r="FD1531" s="8"/>
      <c r="FE1531" s="8"/>
      <c r="FF1531" s="8"/>
      <c r="FG1531" s="8"/>
      <c r="FH1531" s="8"/>
      <c r="FI1531" s="8"/>
      <c r="FJ1531" s="8"/>
      <c r="FK1531" s="8"/>
      <c r="FL1531" s="8"/>
      <c r="FM1531" s="8"/>
      <c r="FN1531" s="8"/>
      <c r="FO1531" s="8"/>
      <c r="FP1531" s="8"/>
      <c r="FQ1531" s="8"/>
      <c r="FR1531" s="8"/>
      <c r="FS1531" s="8"/>
      <c r="FT1531" s="8"/>
      <c r="FU1531" s="8"/>
      <c r="FV1531" s="8"/>
      <c r="FW1531" s="8"/>
      <c r="FX1531" s="8"/>
      <c r="FY1531" s="8"/>
      <c r="FZ1531" s="8"/>
      <c r="GA1531" s="8"/>
      <c r="GB1531" s="8"/>
      <c r="GC1531" s="8"/>
      <c r="GD1531" s="8"/>
      <c r="GE1531" s="8"/>
      <c r="GF1531" s="8"/>
      <c r="GG1531" s="8"/>
      <c r="GH1531" s="8"/>
      <c r="GI1531" s="8"/>
      <c r="GJ1531" s="8"/>
      <c r="GK1531" s="8"/>
      <c r="GL1531" s="8"/>
      <c r="GM1531" s="8"/>
      <c r="GN1531" s="8"/>
      <c r="GO1531" s="8"/>
      <c r="GP1531" s="8"/>
      <c r="GQ1531" s="8"/>
      <c r="GR1531" s="8"/>
      <c r="GS1531" s="8"/>
      <c r="GT1531" s="8"/>
      <c r="GU1531" s="8"/>
      <c r="GV1531" s="8"/>
      <c r="GW1531" s="8"/>
      <c r="GX1531" s="8"/>
      <c r="GY1531" s="8"/>
      <c r="GZ1531" s="8"/>
      <c r="HA1531" s="8"/>
      <c r="HB1531" s="8"/>
      <c r="HC1531" s="8"/>
      <c r="HD1531" s="8"/>
      <c r="HE1531" s="8"/>
      <c r="HF1531" s="8"/>
      <c r="HG1531" s="8"/>
      <c r="HH1531" s="8"/>
      <c r="HI1531" s="8"/>
      <c r="HJ1531" s="8"/>
      <c r="HK1531" s="8"/>
      <c r="HL1531" s="8"/>
      <c r="HM1531" s="8"/>
      <c r="HN1531" s="8"/>
      <c r="HO1531" s="8"/>
      <c r="HP1531" s="8"/>
      <c r="HQ1531" s="8"/>
      <c r="HR1531" s="8"/>
      <c r="HS1531" s="8"/>
      <c r="HT1531" s="8"/>
      <c r="HU1531" s="8"/>
      <c r="HV1531" s="8"/>
      <c r="HW1531" s="8"/>
      <c r="HX1531" s="8"/>
      <c r="HY1531" s="8"/>
      <c r="HZ1531" s="8"/>
      <c r="IA1531" s="8"/>
      <c r="IB1531" s="8"/>
      <c r="IC1531" s="8"/>
      <c r="ID1531" s="8"/>
      <c r="IE1531" s="8"/>
      <c r="IF1531" s="8"/>
    </row>
    <row r="1532" spans="1:240">
      <c r="A1532" s="14"/>
      <c r="B1532" s="23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8"/>
      <c r="BS1532" s="8"/>
      <c r="BT1532" s="8"/>
      <c r="BU1532" s="8"/>
      <c r="BV1532" s="8"/>
      <c r="BW1532" s="8"/>
      <c r="BX1532" s="8"/>
      <c r="BY1532" s="8"/>
      <c r="BZ1532" s="8"/>
      <c r="CA1532" s="8"/>
      <c r="CB1532" s="8"/>
      <c r="CC1532" s="8"/>
      <c r="CD1532" s="8"/>
      <c r="CE1532" s="8"/>
      <c r="CF1532" s="8"/>
      <c r="CG1532" s="8"/>
      <c r="CH1532" s="8"/>
      <c r="CI1532" s="8"/>
      <c r="CJ1532" s="8"/>
      <c r="CK1532" s="8"/>
      <c r="CL1532" s="8"/>
      <c r="CM1532" s="8"/>
      <c r="CN1532" s="8"/>
      <c r="CO1532" s="8"/>
      <c r="CP1532" s="8"/>
      <c r="CQ1532" s="8"/>
      <c r="CR1532" s="8"/>
      <c r="CS1532" s="8"/>
      <c r="CT1532" s="8"/>
      <c r="CU1532" s="8"/>
      <c r="CV1532" s="8"/>
      <c r="CW1532" s="8"/>
      <c r="CX1532" s="8"/>
      <c r="CY1532" s="8"/>
      <c r="CZ1532" s="8"/>
      <c r="DA1532" s="8"/>
      <c r="DB1532" s="8"/>
      <c r="DC1532" s="8"/>
      <c r="DD1532" s="8"/>
      <c r="DE1532" s="8"/>
      <c r="DF1532" s="8"/>
      <c r="DG1532" s="8"/>
      <c r="DH1532" s="8"/>
      <c r="DI1532" s="8"/>
      <c r="DJ1532" s="8"/>
      <c r="DK1532" s="8"/>
      <c r="DL1532" s="8"/>
      <c r="DM1532" s="8"/>
      <c r="DN1532" s="8"/>
      <c r="DO1532" s="8"/>
      <c r="DP1532" s="8"/>
      <c r="DQ1532" s="8"/>
      <c r="DR1532" s="8"/>
      <c r="DS1532" s="8"/>
      <c r="DT1532" s="8"/>
      <c r="DU1532" s="8"/>
      <c r="DV1532" s="8"/>
      <c r="DW1532" s="8"/>
      <c r="DX1532" s="8"/>
      <c r="DY1532" s="8"/>
      <c r="DZ1532" s="8"/>
      <c r="EA1532" s="8"/>
      <c r="EB1532" s="8"/>
      <c r="EC1532" s="8"/>
      <c r="ED1532" s="8"/>
      <c r="EE1532" s="8"/>
      <c r="EF1532" s="8"/>
      <c r="EG1532" s="8"/>
      <c r="EH1532" s="8"/>
      <c r="EI1532" s="8"/>
      <c r="EJ1532" s="8"/>
      <c r="EK1532" s="8"/>
      <c r="EL1532" s="8"/>
      <c r="EM1532" s="8"/>
      <c r="EN1532" s="8"/>
      <c r="EO1532" s="8"/>
      <c r="EP1532" s="8"/>
      <c r="EQ1532" s="8"/>
      <c r="ER1532" s="8"/>
      <c r="ES1532" s="8"/>
      <c r="ET1532" s="8"/>
      <c r="EU1532" s="8"/>
      <c r="EV1532" s="8"/>
      <c r="EW1532" s="8"/>
      <c r="EX1532" s="8"/>
      <c r="EY1532" s="8"/>
      <c r="EZ1532" s="8"/>
      <c r="FA1532" s="8"/>
      <c r="FB1532" s="8"/>
      <c r="FC1532" s="8"/>
      <c r="FD1532" s="8"/>
      <c r="FE1532" s="8"/>
      <c r="FF1532" s="8"/>
      <c r="FG1532" s="8"/>
      <c r="FH1532" s="8"/>
      <c r="FI1532" s="8"/>
      <c r="FJ1532" s="8"/>
      <c r="FK1532" s="8"/>
      <c r="FL1532" s="8"/>
      <c r="FM1532" s="8"/>
      <c r="FN1532" s="8"/>
      <c r="FO1532" s="8"/>
      <c r="FP1532" s="8"/>
      <c r="FQ1532" s="8"/>
      <c r="FR1532" s="8"/>
      <c r="FS1532" s="8"/>
      <c r="FT1532" s="8"/>
      <c r="FU1532" s="8"/>
      <c r="FV1532" s="8"/>
      <c r="FW1532" s="8"/>
      <c r="FX1532" s="8"/>
      <c r="FY1532" s="8"/>
      <c r="FZ1532" s="8"/>
      <c r="GA1532" s="8"/>
      <c r="GB1532" s="8"/>
      <c r="GC1532" s="8"/>
      <c r="GD1532" s="8"/>
      <c r="GE1532" s="8"/>
      <c r="GF1532" s="8"/>
      <c r="GG1532" s="8"/>
      <c r="GH1532" s="8"/>
      <c r="GI1532" s="8"/>
      <c r="GJ1532" s="8"/>
      <c r="GK1532" s="8"/>
      <c r="GL1532" s="8"/>
      <c r="GM1532" s="8"/>
      <c r="GN1532" s="8"/>
      <c r="GO1532" s="8"/>
      <c r="GP1532" s="8"/>
      <c r="GQ1532" s="8"/>
      <c r="GR1532" s="8"/>
      <c r="GS1532" s="8"/>
      <c r="GT1532" s="8"/>
      <c r="GU1532" s="8"/>
      <c r="GV1532" s="8"/>
      <c r="GW1532" s="8"/>
      <c r="GX1532" s="8"/>
      <c r="GY1532" s="8"/>
      <c r="GZ1532" s="8"/>
      <c r="HA1532" s="8"/>
      <c r="HB1532" s="8"/>
      <c r="HC1532" s="8"/>
      <c r="HD1532" s="8"/>
      <c r="HE1532" s="8"/>
      <c r="HF1532" s="8"/>
      <c r="HG1532" s="8"/>
      <c r="HH1532" s="8"/>
      <c r="HI1532" s="8"/>
      <c r="HJ1532" s="8"/>
      <c r="HK1532" s="8"/>
      <c r="HL1532" s="8"/>
      <c r="HM1532" s="8"/>
      <c r="HN1532" s="8"/>
      <c r="HO1532" s="8"/>
      <c r="HP1532" s="8"/>
      <c r="HQ1532" s="8"/>
      <c r="HR1532" s="8"/>
      <c r="HS1532" s="8"/>
      <c r="HT1532" s="8"/>
      <c r="HU1532" s="8"/>
      <c r="HV1532" s="8"/>
      <c r="HW1532" s="8"/>
      <c r="HX1532" s="8"/>
      <c r="HY1532" s="8"/>
      <c r="HZ1532" s="8"/>
      <c r="IA1532" s="8"/>
      <c r="IB1532" s="8"/>
      <c r="IC1532" s="8"/>
      <c r="ID1532" s="8"/>
      <c r="IE1532" s="8"/>
      <c r="IF1532" s="8"/>
    </row>
    <row r="1533" spans="1:240">
      <c r="A1533" s="14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8"/>
      <c r="BS1533" s="8"/>
      <c r="BT1533" s="8"/>
      <c r="BU1533" s="8"/>
      <c r="BV1533" s="8"/>
      <c r="BW1533" s="8"/>
      <c r="BX1533" s="8"/>
      <c r="BY1533" s="8"/>
      <c r="BZ1533" s="8"/>
      <c r="CA1533" s="8"/>
      <c r="CB1533" s="8"/>
      <c r="CC1533" s="8"/>
      <c r="CD1533" s="8"/>
      <c r="CE1533" s="8"/>
      <c r="CF1533" s="8"/>
      <c r="CG1533" s="8"/>
      <c r="CH1533" s="8"/>
      <c r="CI1533" s="8"/>
      <c r="CJ1533" s="8"/>
      <c r="CK1533" s="8"/>
      <c r="CL1533" s="8"/>
      <c r="CM1533" s="8"/>
      <c r="CN1533" s="8"/>
      <c r="CO1533" s="8"/>
      <c r="CP1533" s="8"/>
      <c r="CQ1533" s="8"/>
      <c r="CR1533" s="8"/>
      <c r="CS1533" s="8"/>
      <c r="CT1533" s="8"/>
      <c r="CU1533" s="8"/>
      <c r="CV1533" s="8"/>
      <c r="CW1533" s="8"/>
      <c r="CX1533" s="8"/>
      <c r="CY1533" s="8"/>
      <c r="CZ1533" s="8"/>
      <c r="DA1533" s="8"/>
      <c r="DB1533" s="8"/>
      <c r="DC1533" s="8"/>
      <c r="DD1533" s="8"/>
      <c r="DE1533" s="8"/>
      <c r="DF1533" s="8"/>
      <c r="DG1533" s="8"/>
      <c r="DH1533" s="8"/>
      <c r="DI1533" s="8"/>
      <c r="DJ1533" s="8"/>
      <c r="DK1533" s="8"/>
      <c r="DL1533" s="8"/>
      <c r="DM1533" s="8"/>
      <c r="DN1533" s="8"/>
      <c r="DO1533" s="8"/>
      <c r="DP1533" s="8"/>
      <c r="DQ1533" s="8"/>
      <c r="DR1533" s="8"/>
      <c r="DS1533" s="8"/>
      <c r="DT1533" s="8"/>
      <c r="DU1533" s="8"/>
      <c r="DV1533" s="8"/>
      <c r="DW1533" s="8"/>
      <c r="DX1533" s="8"/>
      <c r="DY1533" s="8"/>
      <c r="DZ1533" s="8"/>
      <c r="EA1533" s="8"/>
      <c r="EB1533" s="8"/>
      <c r="EC1533" s="8"/>
      <c r="ED1533" s="8"/>
      <c r="EE1533" s="8"/>
      <c r="EF1533" s="8"/>
      <c r="EG1533" s="8"/>
      <c r="EH1533" s="8"/>
      <c r="EI1533" s="8"/>
      <c r="EJ1533" s="8"/>
      <c r="EK1533" s="8"/>
      <c r="EL1533" s="8"/>
      <c r="EM1533" s="8"/>
      <c r="EN1533" s="8"/>
      <c r="EO1533" s="8"/>
      <c r="EP1533" s="8"/>
      <c r="EQ1533" s="8"/>
      <c r="ER1533" s="8"/>
      <c r="ES1533" s="8"/>
      <c r="ET1533" s="8"/>
      <c r="EU1533" s="8"/>
      <c r="EV1533" s="8"/>
      <c r="EW1533" s="8"/>
      <c r="EX1533" s="8"/>
      <c r="EY1533" s="8"/>
      <c r="EZ1533" s="8"/>
      <c r="FA1533" s="8"/>
      <c r="FB1533" s="8"/>
      <c r="FC1533" s="8"/>
      <c r="FD1533" s="8"/>
      <c r="FE1533" s="8"/>
      <c r="FF1533" s="8"/>
      <c r="FG1533" s="8"/>
      <c r="FH1533" s="8"/>
      <c r="FI1533" s="8"/>
      <c r="FJ1533" s="8"/>
      <c r="FK1533" s="8"/>
      <c r="FL1533" s="8"/>
      <c r="FM1533" s="8"/>
      <c r="FN1533" s="8"/>
      <c r="FO1533" s="8"/>
      <c r="FP1533" s="8"/>
      <c r="FQ1533" s="8"/>
      <c r="FR1533" s="8"/>
      <c r="FS1533" s="8"/>
      <c r="FT1533" s="8"/>
      <c r="FU1533" s="8"/>
      <c r="FV1533" s="8"/>
      <c r="FW1533" s="8"/>
      <c r="FX1533" s="8"/>
      <c r="FY1533" s="8"/>
      <c r="FZ1533" s="8"/>
      <c r="GA1533" s="8"/>
      <c r="GB1533" s="8"/>
      <c r="GC1533" s="8"/>
      <c r="GD1533" s="8"/>
      <c r="GE1533" s="8"/>
      <c r="GF1533" s="8"/>
      <c r="GG1533" s="8"/>
      <c r="GH1533" s="8"/>
      <c r="GI1533" s="8"/>
      <c r="GJ1533" s="8"/>
      <c r="GK1533" s="8"/>
      <c r="GL1533" s="8"/>
      <c r="GM1533" s="8"/>
      <c r="GN1533" s="8"/>
      <c r="GO1533" s="8"/>
      <c r="GP1533" s="8"/>
      <c r="GQ1533" s="8"/>
      <c r="GR1533" s="8"/>
      <c r="GS1533" s="8"/>
      <c r="GT1533" s="8"/>
      <c r="GU1533" s="8"/>
      <c r="GV1533" s="8"/>
      <c r="GW1533" s="8"/>
      <c r="GX1533" s="8"/>
      <c r="GY1533" s="8"/>
      <c r="GZ1533" s="8"/>
      <c r="HA1533" s="8"/>
      <c r="HB1533" s="8"/>
      <c r="HC1533" s="8"/>
      <c r="HD1533" s="8"/>
      <c r="HE1533" s="8"/>
      <c r="HF1533" s="8"/>
      <c r="HG1533" s="8"/>
      <c r="HH1533" s="8"/>
      <c r="HI1533" s="8"/>
      <c r="HJ1533" s="8"/>
      <c r="HK1533" s="8"/>
      <c r="HL1533" s="8"/>
      <c r="HM1533" s="8"/>
      <c r="HN1533" s="8"/>
      <c r="HO1533" s="8"/>
      <c r="HP1533" s="8"/>
      <c r="HQ1533" s="8"/>
      <c r="HR1533" s="8"/>
      <c r="HS1533" s="8"/>
      <c r="HT1533" s="8"/>
      <c r="HU1533" s="8"/>
      <c r="HV1533" s="8"/>
      <c r="HW1533" s="8"/>
      <c r="HX1533" s="8"/>
      <c r="HY1533" s="8"/>
      <c r="HZ1533" s="8"/>
      <c r="IA1533" s="8"/>
      <c r="IB1533" s="8"/>
      <c r="IC1533" s="8"/>
      <c r="ID1533" s="8"/>
      <c r="IE1533" s="8"/>
      <c r="IF1533" s="8"/>
    </row>
    <row r="1534" spans="1:240">
      <c r="A1534" s="14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  <c r="AC1534" s="23"/>
      <c r="AD1534" s="23"/>
      <c r="AE1534" s="23"/>
      <c r="AF1534" s="23"/>
      <c r="AG1534" s="23"/>
      <c r="AH1534" s="23"/>
      <c r="AI1534" s="23"/>
      <c r="AJ1534" s="23"/>
      <c r="AK1534" s="23"/>
      <c r="AL1534" s="23"/>
      <c r="AM1534" s="23"/>
      <c r="AN1534" s="23"/>
      <c r="AO1534" s="8"/>
      <c r="AP1534" s="8"/>
      <c r="AQ1534" s="8"/>
      <c r="AR1534" s="8"/>
      <c r="AS1534" s="8"/>
      <c r="AT1534" s="8"/>
      <c r="AU1534" s="8"/>
      <c r="AV1534" s="8"/>
      <c r="AW1534" s="8"/>
      <c r="AX1534" s="8"/>
      <c r="AY1534" s="8"/>
      <c r="AZ1534" s="8"/>
      <c r="BA1534" s="8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8"/>
      <c r="BS1534" s="8"/>
      <c r="BT1534" s="8"/>
      <c r="BU1534" s="8"/>
      <c r="BV1534" s="8"/>
      <c r="BW1534" s="8"/>
      <c r="BX1534" s="8"/>
      <c r="BY1534" s="8"/>
      <c r="BZ1534" s="8"/>
      <c r="CA1534" s="8"/>
      <c r="CB1534" s="8"/>
      <c r="CC1534" s="8"/>
      <c r="CD1534" s="8"/>
      <c r="CE1534" s="8"/>
      <c r="CF1534" s="8"/>
      <c r="CG1534" s="8"/>
      <c r="CH1534" s="8"/>
      <c r="CI1534" s="8"/>
      <c r="CJ1534" s="8"/>
      <c r="CK1534" s="8"/>
      <c r="CL1534" s="8"/>
      <c r="CM1534" s="8"/>
      <c r="CN1534" s="8"/>
      <c r="CO1534" s="8"/>
      <c r="CP1534" s="8"/>
      <c r="CQ1534" s="8"/>
      <c r="CR1534" s="8"/>
      <c r="CS1534" s="8"/>
      <c r="CT1534" s="8"/>
      <c r="CU1534" s="8"/>
      <c r="CV1534" s="8"/>
      <c r="CW1534" s="8"/>
      <c r="CX1534" s="8"/>
      <c r="CY1534" s="8"/>
      <c r="CZ1534" s="8"/>
      <c r="DA1534" s="8"/>
      <c r="DB1534" s="8"/>
      <c r="DC1534" s="8"/>
      <c r="DD1534" s="8"/>
      <c r="DE1534" s="8"/>
      <c r="DF1534" s="8"/>
      <c r="DG1534" s="8"/>
      <c r="DH1534" s="8"/>
      <c r="DI1534" s="8"/>
      <c r="DJ1534" s="8"/>
      <c r="DK1534" s="8"/>
      <c r="DL1534" s="8"/>
      <c r="DM1534" s="8"/>
      <c r="DN1534" s="8"/>
      <c r="DO1534" s="8"/>
      <c r="DP1534" s="8"/>
      <c r="DQ1534" s="8"/>
      <c r="DR1534" s="8"/>
      <c r="DS1534" s="8"/>
      <c r="DT1534" s="8"/>
      <c r="DU1534" s="8"/>
      <c r="DV1534" s="8"/>
      <c r="DW1534" s="8"/>
      <c r="DX1534" s="8"/>
      <c r="DY1534" s="8"/>
      <c r="DZ1534" s="8"/>
      <c r="EA1534" s="8"/>
      <c r="EB1534" s="8"/>
      <c r="EC1534" s="8"/>
      <c r="ED1534" s="8"/>
      <c r="EE1534" s="8"/>
      <c r="EF1534" s="8"/>
      <c r="EG1534" s="8"/>
      <c r="EH1534" s="8"/>
      <c r="EI1534" s="8"/>
      <c r="EJ1534" s="8"/>
      <c r="EK1534" s="8"/>
      <c r="EL1534" s="8"/>
      <c r="EM1534" s="8"/>
      <c r="EN1534" s="8"/>
      <c r="EO1534" s="8"/>
      <c r="EP1534" s="8"/>
      <c r="EQ1534" s="8"/>
      <c r="ER1534" s="8"/>
      <c r="ES1534" s="8"/>
      <c r="ET1534" s="8"/>
      <c r="EU1534" s="8"/>
      <c r="EV1534" s="8"/>
      <c r="EW1534" s="8"/>
      <c r="EX1534" s="8"/>
      <c r="EY1534" s="8"/>
      <c r="EZ1534" s="8"/>
      <c r="FA1534" s="8"/>
      <c r="FB1534" s="8"/>
      <c r="FC1534" s="8"/>
      <c r="FD1534" s="8"/>
      <c r="FE1534" s="8"/>
      <c r="FF1534" s="8"/>
      <c r="FG1534" s="8"/>
      <c r="FH1534" s="8"/>
      <c r="FI1534" s="8"/>
      <c r="FJ1534" s="8"/>
      <c r="FK1534" s="8"/>
      <c r="FL1534" s="8"/>
      <c r="FM1534" s="8"/>
      <c r="FN1534" s="8"/>
      <c r="FO1534" s="8"/>
      <c r="FP1534" s="8"/>
      <c r="FQ1534" s="8"/>
      <c r="FR1534" s="8"/>
      <c r="FS1534" s="8"/>
      <c r="FT1534" s="8"/>
      <c r="FU1534" s="8"/>
      <c r="FV1534" s="8"/>
      <c r="FW1534" s="8"/>
      <c r="FX1534" s="8"/>
      <c r="FY1534" s="8"/>
      <c r="FZ1534" s="8"/>
      <c r="GA1534" s="8"/>
      <c r="GB1534" s="8"/>
      <c r="GC1534" s="8"/>
      <c r="GD1534" s="8"/>
      <c r="GE1534" s="8"/>
      <c r="GF1534" s="8"/>
      <c r="GG1534" s="8"/>
      <c r="GH1534" s="8"/>
      <c r="GI1534" s="8"/>
      <c r="GJ1534" s="8"/>
      <c r="GK1534" s="8"/>
      <c r="GL1534" s="8"/>
      <c r="GM1534" s="8"/>
      <c r="GN1534" s="8"/>
      <c r="GO1534" s="8"/>
      <c r="GP1534" s="8"/>
      <c r="GQ1534" s="8"/>
      <c r="GR1534" s="8"/>
      <c r="GS1534" s="8"/>
      <c r="GT1534" s="8"/>
      <c r="GU1534" s="8"/>
      <c r="GV1534" s="8"/>
      <c r="GW1534" s="8"/>
      <c r="GX1534" s="8"/>
      <c r="GY1534" s="8"/>
      <c r="GZ1534" s="8"/>
      <c r="HA1534" s="8"/>
      <c r="HB1534" s="8"/>
      <c r="HC1534" s="8"/>
      <c r="HD1534" s="8"/>
      <c r="HE1534" s="8"/>
      <c r="HF1534" s="8"/>
      <c r="HG1534" s="8"/>
      <c r="HH1534" s="8"/>
      <c r="HI1534" s="8"/>
      <c r="HJ1534" s="8"/>
      <c r="HK1534" s="8"/>
      <c r="HL1534" s="8"/>
      <c r="HM1534" s="8"/>
      <c r="HN1534" s="8"/>
      <c r="HO1534" s="8"/>
      <c r="HP1534" s="8"/>
      <c r="HQ1534" s="8"/>
      <c r="HR1534" s="8"/>
      <c r="HS1534" s="8"/>
      <c r="HT1534" s="8"/>
      <c r="HU1534" s="8"/>
      <c r="HV1534" s="8"/>
      <c r="HW1534" s="8"/>
      <c r="HX1534" s="8"/>
      <c r="HY1534" s="8"/>
      <c r="HZ1534" s="8"/>
      <c r="IA1534" s="8"/>
      <c r="IB1534" s="8"/>
      <c r="IC1534" s="8"/>
      <c r="ID1534" s="8"/>
      <c r="IE1534" s="8"/>
      <c r="IF1534" s="8"/>
    </row>
    <row r="1535" spans="1:240">
      <c r="A1535" s="14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3"/>
      <c r="AB1535" s="23"/>
      <c r="AC1535" s="23"/>
      <c r="AD1535" s="23"/>
      <c r="AE1535" s="23"/>
      <c r="AF1535" s="23"/>
      <c r="AG1535" s="23"/>
      <c r="AH1535" s="23"/>
      <c r="AI1535" s="23"/>
      <c r="AJ1535" s="23"/>
      <c r="AK1535" s="23"/>
      <c r="AL1535" s="23"/>
      <c r="AM1535" s="23"/>
      <c r="AN1535" s="23"/>
      <c r="AO1535" s="8"/>
      <c r="AP1535" s="8"/>
      <c r="AQ1535" s="8"/>
      <c r="AR1535" s="8"/>
      <c r="AS1535" s="8"/>
      <c r="AT1535" s="8"/>
      <c r="AU1535" s="8"/>
      <c r="AV1535" s="8"/>
      <c r="AW1535" s="8"/>
      <c r="AX1535" s="8"/>
      <c r="AY1535" s="8"/>
      <c r="AZ1535" s="8"/>
      <c r="BA1535" s="8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8"/>
      <c r="BS1535" s="8"/>
      <c r="BT1535" s="8"/>
      <c r="BU1535" s="8"/>
      <c r="BV1535" s="8"/>
      <c r="BW1535" s="8"/>
      <c r="BX1535" s="8"/>
      <c r="BY1535" s="8"/>
      <c r="BZ1535" s="8"/>
      <c r="CA1535" s="8"/>
      <c r="CB1535" s="8"/>
      <c r="CC1535" s="8"/>
      <c r="CD1535" s="8"/>
      <c r="CE1535" s="8"/>
      <c r="CF1535" s="8"/>
      <c r="CG1535" s="8"/>
      <c r="CH1535" s="8"/>
      <c r="CI1535" s="8"/>
      <c r="CJ1535" s="8"/>
      <c r="CK1535" s="8"/>
      <c r="CL1535" s="8"/>
      <c r="CM1535" s="8"/>
      <c r="CN1535" s="8"/>
      <c r="CO1535" s="8"/>
      <c r="CP1535" s="8"/>
      <c r="CQ1535" s="8"/>
      <c r="CR1535" s="8"/>
      <c r="CS1535" s="8"/>
      <c r="CT1535" s="8"/>
      <c r="CU1535" s="8"/>
      <c r="CV1535" s="8"/>
      <c r="CW1535" s="8"/>
      <c r="CX1535" s="8"/>
      <c r="CY1535" s="8"/>
      <c r="CZ1535" s="8"/>
      <c r="DA1535" s="8"/>
      <c r="DB1535" s="8"/>
      <c r="DC1535" s="8"/>
      <c r="DD1535" s="8"/>
      <c r="DE1535" s="8"/>
      <c r="DF1535" s="8"/>
      <c r="DG1535" s="8"/>
      <c r="DH1535" s="8"/>
      <c r="DI1535" s="8"/>
      <c r="DJ1535" s="8"/>
      <c r="DK1535" s="8"/>
      <c r="DL1535" s="8"/>
      <c r="DM1535" s="8"/>
      <c r="DN1535" s="8"/>
      <c r="DO1535" s="8"/>
      <c r="DP1535" s="8"/>
      <c r="DQ1535" s="8"/>
      <c r="DR1535" s="8"/>
      <c r="DS1535" s="8"/>
      <c r="DT1535" s="8"/>
      <c r="DU1535" s="8"/>
      <c r="DV1535" s="8"/>
      <c r="DW1535" s="8"/>
      <c r="DX1535" s="8"/>
      <c r="DY1535" s="8"/>
      <c r="DZ1535" s="8"/>
      <c r="EA1535" s="8"/>
      <c r="EB1535" s="8"/>
      <c r="EC1535" s="8"/>
      <c r="ED1535" s="8"/>
      <c r="EE1535" s="8"/>
      <c r="EF1535" s="8"/>
      <c r="EG1535" s="8"/>
      <c r="EH1535" s="8"/>
      <c r="EI1535" s="8"/>
      <c r="EJ1535" s="8"/>
      <c r="EK1535" s="8"/>
      <c r="EL1535" s="8"/>
      <c r="EM1535" s="8"/>
      <c r="EN1535" s="8"/>
      <c r="EO1535" s="8"/>
      <c r="EP1535" s="8"/>
      <c r="EQ1535" s="8"/>
      <c r="ER1535" s="8"/>
      <c r="ES1535" s="8"/>
      <c r="ET1535" s="8"/>
      <c r="EU1535" s="8"/>
      <c r="EV1535" s="8"/>
      <c r="EW1535" s="8"/>
      <c r="EX1535" s="8"/>
      <c r="EY1535" s="8"/>
      <c r="EZ1535" s="8"/>
      <c r="FA1535" s="8"/>
      <c r="FB1535" s="8"/>
      <c r="FC1535" s="8"/>
      <c r="FD1535" s="8"/>
      <c r="FE1535" s="8"/>
      <c r="FF1535" s="8"/>
      <c r="FG1535" s="8"/>
      <c r="FH1535" s="8"/>
      <c r="FI1535" s="8"/>
      <c r="FJ1535" s="8"/>
      <c r="FK1535" s="8"/>
      <c r="FL1535" s="8"/>
      <c r="FM1535" s="8"/>
      <c r="FN1535" s="8"/>
      <c r="FO1535" s="8"/>
      <c r="FP1535" s="8"/>
      <c r="FQ1535" s="8"/>
      <c r="FR1535" s="8"/>
      <c r="FS1535" s="8"/>
      <c r="FT1535" s="8"/>
      <c r="FU1535" s="8"/>
      <c r="FV1535" s="8"/>
      <c r="FW1535" s="8"/>
      <c r="FX1535" s="8"/>
      <c r="FY1535" s="8"/>
      <c r="FZ1535" s="8"/>
      <c r="GA1535" s="8"/>
      <c r="GB1535" s="8"/>
      <c r="GC1535" s="8"/>
      <c r="GD1535" s="8"/>
      <c r="GE1535" s="8"/>
      <c r="GF1535" s="8"/>
      <c r="GG1535" s="8"/>
      <c r="GH1535" s="8"/>
      <c r="GI1535" s="8"/>
      <c r="GJ1535" s="8"/>
      <c r="GK1535" s="8"/>
      <c r="GL1535" s="8"/>
      <c r="GM1535" s="8"/>
      <c r="GN1535" s="8"/>
      <c r="GO1535" s="8"/>
      <c r="GP1535" s="8"/>
      <c r="GQ1535" s="8"/>
      <c r="GR1535" s="8"/>
      <c r="GS1535" s="8"/>
      <c r="GT1535" s="8"/>
      <c r="GU1535" s="8"/>
      <c r="GV1535" s="8"/>
      <c r="GW1535" s="8"/>
      <c r="GX1535" s="8"/>
      <c r="GY1535" s="8"/>
      <c r="GZ1535" s="8"/>
      <c r="HA1535" s="8"/>
      <c r="HB1535" s="8"/>
      <c r="HC1535" s="8"/>
      <c r="HD1535" s="8"/>
      <c r="HE1535" s="8"/>
      <c r="HF1535" s="8"/>
      <c r="HG1535" s="8"/>
      <c r="HH1535" s="8"/>
      <c r="HI1535" s="8"/>
      <c r="HJ1535" s="8"/>
      <c r="HK1535" s="8"/>
      <c r="HL1535" s="8"/>
      <c r="HM1535" s="8"/>
      <c r="HN1535" s="8"/>
      <c r="HO1535" s="8"/>
      <c r="HP1535" s="8"/>
      <c r="HQ1535" s="8"/>
      <c r="HR1535" s="8"/>
      <c r="HS1535" s="8"/>
      <c r="HT1535" s="8"/>
      <c r="HU1535" s="8"/>
      <c r="HV1535" s="8"/>
      <c r="HW1535" s="8"/>
      <c r="HX1535" s="8"/>
      <c r="HY1535" s="8"/>
      <c r="HZ1535" s="8"/>
      <c r="IA1535" s="8"/>
      <c r="IB1535" s="8"/>
      <c r="IC1535" s="8"/>
      <c r="ID1535" s="8"/>
      <c r="IE1535" s="8"/>
      <c r="IF1535" s="8"/>
    </row>
    <row r="1536" spans="1:240">
      <c r="A1536" s="14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3"/>
      <c r="AB1536" s="23"/>
      <c r="AC1536" s="23"/>
      <c r="AD1536" s="23"/>
      <c r="AE1536" s="23"/>
      <c r="AF1536" s="23"/>
      <c r="AG1536" s="23"/>
      <c r="AH1536" s="23"/>
      <c r="AI1536" s="23"/>
      <c r="AJ1536" s="23"/>
      <c r="AK1536" s="23"/>
      <c r="AL1536" s="23"/>
      <c r="AM1536" s="23"/>
      <c r="AN1536" s="23"/>
      <c r="AO1536" s="8"/>
      <c r="AP1536" s="8"/>
      <c r="AQ1536" s="8"/>
      <c r="AR1536" s="8"/>
      <c r="AS1536" s="8"/>
      <c r="AT1536" s="8"/>
      <c r="AU1536" s="8"/>
      <c r="AV1536" s="8"/>
      <c r="AW1536" s="8"/>
      <c r="AX1536" s="8"/>
      <c r="AY1536" s="8"/>
      <c r="AZ1536" s="8"/>
      <c r="BA1536" s="8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8"/>
      <c r="BS1536" s="8"/>
      <c r="BT1536" s="8"/>
      <c r="BU1536" s="8"/>
      <c r="BV1536" s="8"/>
      <c r="BW1536" s="8"/>
      <c r="BX1536" s="8"/>
      <c r="BY1536" s="8"/>
      <c r="BZ1536" s="8"/>
      <c r="CA1536" s="8"/>
      <c r="CB1536" s="8"/>
      <c r="CC1536" s="8"/>
      <c r="CD1536" s="8"/>
      <c r="CE1536" s="8"/>
      <c r="CF1536" s="8"/>
      <c r="CG1536" s="8"/>
      <c r="CH1536" s="8"/>
      <c r="CI1536" s="8"/>
      <c r="CJ1536" s="8"/>
      <c r="CK1536" s="8"/>
      <c r="CL1536" s="8"/>
      <c r="CM1536" s="8"/>
      <c r="CN1536" s="8"/>
      <c r="CO1536" s="8"/>
      <c r="CP1536" s="8"/>
      <c r="CQ1536" s="8"/>
      <c r="CR1536" s="8"/>
      <c r="CS1536" s="8"/>
      <c r="CT1536" s="8"/>
      <c r="CU1536" s="8"/>
      <c r="CV1536" s="8"/>
      <c r="CW1536" s="8"/>
      <c r="CX1536" s="8"/>
      <c r="CY1536" s="8"/>
      <c r="CZ1536" s="8"/>
      <c r="DA1536" s="8"/>
      <c r="DB1536" s="8"/>
      <c r="DC1536" s="8"/>
      <c r="DD1536" s="8"/>
      <c r="DE1536" s="8"/>
      <c r="DF1536" s="8"/>
      <c r="DG1536" s="8"/>
      <c r="DH1536" s="8"/>
      <c r="DI1536" s="8"/>
      <c r="DJ1536" s="8"/>
      <c r="DK1536" s="8"/>
      <c r="DL1536" s="8"/>
      <c r="DM1536" s="8"/>
      <c r="DN1536" s="8"/>
      <c r="DO1536" s="8"/>
      <c r="DP1536" s="8"/>
      <c r="DQ1536" s="8"/>
      <c r="DR1536" s="8"/>
      <c r="DS1536" s="8"/>
      <c r="DT1536" s="8"/>
      <c r="DU1536" s="8"/>
      <c r="DV1536" s="8"/>
      <c r="DW1536" s="8"/>
      <c r="DX1536" s="8"/>
      <c r="DY1536" s="8"/>
      <c r="DZ1536" s="8"/>
      <c r="EA1536" s="8"/>
      <c r="EB1536" s="8"/>
      <c r="EC1536" s="8"/>
      <c r="ED1536" s="8"/>
      <c r="EE1536" s="8"/>
      <c r="EF1536" s="8"/>
      <c r="EG1536" s="8"/>
      <c r="EH1536" s="8"/>
      <c r="EI1536" s="8"/>
      <c r="EJ1536" s="8"/>
      <c r="EK1536" s="8"/>
      <c r="EL1536" s="8"/>
      <c r="EM1536" s="8"/>
      <c r="EN1536" s="8"/>
      <c r="EO1536" s="8"/>
      <c r="EP1536" s="8"/>
      <c r="EQ1536" s="8"/>
      <c r="ER1536" s="8"/>
      <c r="ES1536" s="8"/>
      <c r="ET1536" s="8"/>
      <c r="EU1536" s="8"/>
      <c r="EV1536" s="8"/>
      <c r="EW1536" s="8"/>
      <c r="EX1536" s="8"/>
      <c r="EY1536" s="8"/>
      <c r="EZ1536" s="8"/>
      <c r="FA1536" s="8"/>
      <c r="FB1536" s="8"/>
      <c r="FC1536" s="8"/>
      <c r="FD1536" s="8"/>
      <c r="FE1536" s="8"/>
      <c r="FF1536" s="8"/>
      <c r="FG1536" s="8"/>
      <c r="FH1536" s="8"/>
      <c r="FI1536" s="8"/>
      <c r="FJ1536" s="8"/>
      <c r="FK1536" s="8"/>
      <c r="FL1536" s="8"/>
      <c r="FM1536" s="8"/>
      <c r="FN1536" s="8"/>
      <c r="FO1536" s="8"/>
      <c r="FP1536" s="8"/>
      <c r="FQ1536" s="8"/>
      <c r="FR1536" s="8"/>
      <c r="FS1536" s="8"/>
      <c r="FT1536" s="8"/>
      <c r="FU1536" s="8"/>
      <c r="FV1536" s="8"/>
      <c r="FW1536" s="8"/>
      <c r="FX1536" s="8"/>
      <c r="FY1536" s="8"/>
      <c r="FZ1536" s="8"/>
      <c r="GA1536" s="8"/>
      <c r="GB1536" s="8"/>
      <c r="GC1536" s="8"/>
      <c r="GD1536" s="8"/>
      <c r="GE1536" s="8"/>
      <c r="GF1536" s="8"/>
      <c r="GG1536" s="8"/>
      <c r="GH1536" s="8"/>
      <c r="GI1536" s="8"/>
      <c r="GJ1536" s="8"/>
      <c r="GK1536" s="8"/>
      <c r="GL1536" s="8"/>
      <c r="GM1536" s="8"/>
      <c r="GN1536" s="8"/>
      <c r="GO1536" s="8"/>
      <c r="GP1536" s="8"/>
      <c r="GQ1536" s="8"/>
      <c r="GR1536" s="8"/>
      <c r="GS1536" s="8"/>
      <c r="GT1536" s="8"/>
      <c r="GU1536" s="8"/>
      <c r="GV1536" s="8"/>
      <c r="GW1536" s="8"/>
      <c r="GX1536" s="8"/>
      <c r="GY1536" s="8"/>
      <c r="GZ1536" s="8"/>
      <c r="HA1536" s="8"/>
      <c r="HB1536" s="8"/>
      <c r="HC1536" s="8"/>
      <c r="HD1536" s="8"/>
      <c r="HE1536" s="8"/>
      <c r="HF1536" s="8"/>
      <c r="HG1536" s="8"/>
      <c r="HH1536" s="8"/>
      <c r="HI1536" s="8"/>
      <c r="HJ1536" s="8"/>
      <c r="HK1536" s="8"/>
      <c r="HL1536" s="8"/>
      <c r="HM1536" s="8"/>
      <c r="HN1536" s="8"/>
      <c r="HO1536" s="8"/>
      <c r="HP1536" s="8"/>
      <c r="HQ1536" s="8"/>
      <c r="HR1536" s="8"/>
      <c r="HS1536" s="8"/>
      <c r="HT1536" s="8"/>
      <c r="HU1536" s="8"/>
      <c r="HV1536" s="8"/>
      <c r="HW1536" s="8"/>
      <c r="HX1536" s="8"/>
      <c r="HY1536" s="8"/>
      <c r="HZ1536" s="8"/>
      <c r="IA1536" s="8"/>
      <c r="IB1536" s="8"/>
      <c r="IC1536" s="8"/>
      <c r="ID1536" s="8"/>
      <c r="IE1536" s="8"/>
      <c r="IF1536" s="8"/>
    </row>
    <row r="1537" spans="1:240">
      <c r="A1537" s="14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8"/>
      <c r="AP1537" s="8"/>
      <c r="AQ1537" s="8"/>
      <c r="AR1537" s="8"/>
      <c r="AS1537" s="8"/>
      <c r="AT1537" s="8"/>
      <c r="AU1537" s="8"/>
      <c r="AV1537" s="8"/>
      <c r="AW1537" s="8"/>
      <c r="AX1537" s="8"/>
      <c r="AY1537" s="8"/>
      <c r="AZ1537" s="8"/>
      <c r="BA1537" s="8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/>
      <c r="BM1537" s="8"/>
      <c r="BN1537" s="8"/>
      <c r="BO1537" s="8"/>
      <c r="BP1537" s="8"/>
      <c r="BQ1537" s="8"/>
      <c r="BR1537" s="8"/>
      <c r="BS1537" s="8"/>
      <c r="BT1537" s="8"/>
      <c r="BU1537" s="8"/>
      <c r="BV1537" s="8"/>
      <c r="BW1537" s="8"/>
      <c r="BX1537" s="8"/>
      <c r="BY1537" s="8"/>
      <c r="BZ1537" s="8"/>
      <c r="CA1537" s="8"/>
      <c r="CB1537" s="8"/>
      <c r="CC1537" s="8"/>
      <c r="CD1537" s="8"/>
      <c r="CE1537" s="8"/>
      <c r="CF1537" s="8"/>
      <c r="CG1537" s="8"/>
      <c r="CH1537" s="8"/>
      <c r="CI1537" s="8"/>
      <c r="CJ1537" s="8"/>
      <c r="CK1537" s="8"/>
      <c r="CL1537" s="8"/>
      <c r="CM1537" s="8"/>
      <c r="CN1537" s="8"/>
      <c r="CO1537" s="8"/>
      <c r="CP1537" s="8"/>
      <c r="CQ1537" s="8"/>
      <c r="CR1537" s="8"/>
      <c r="CS1537" s="8"/>
      <c r="CT1537" s="8"/>
      <c r="CU1537" s="8"/>
      <c r="CV1537" s="8"/>
      <c r="CW1537" s="8"/>
      <c r="CX1537" s="8"/>
      <c r="CY1537" s="8"/>
      <c r="CZ1537" s="8"/>
      <c r="DA1537" s="8"/>
      <c r="DB1537" s="8"/>
      <c r="DC1537" s="8"/>
      <c r="DD1537" s="8"/>
      <c r="DE1537" s="8"/>
      <c r="DF1537" s="8"/>
      <c r="DG1537" s="8"/>
      <c r="DH1537" s="8"/>
      <c r="DI1537" s="8"/>
      <c r="DJ1537" s="8"/>
      <c r="DK1537" s="8"/>
      <c r="DL1537" s="8"/>
      <c r="DM1537" s="8"/>
      <c r="DN1537" s="8"/>
      <c r="DO1537" s="8"/>
      <c r="DP1537" s="8"/>
      <c r="DQ1537" s="8"/>
      <c r="DR1537" s="8"/>
      <c r="DS1537" s="8"/>
      <c r="DT1537" s="8"/>
      <c r="DU1537" s="8"/>
      <c r="DV1537" s="8"/>
      <c r="DW1537" s="8"/>
      <c r="DX1537" s="8"/>
      <c r="DY1537" s="8"/>
      <c r="DZ1537" s="8"/>
      <c r="EA1537" s="8"/>
      <c r="EB1537" s="8"/>
      <c r="EC1537" s="8"/>
      <c r="ED1537" s="8"/>
      <c r="EE1537" s="8"/>
      <c r="EF1537" s="8"/>
      <c r="EG1537" s="8"/>
      <c r="EH1537" s="8"/>
      <c r="EI1537" s="8"/>
      <c r="EJ1537" s="8"/>
      <c r="EK1537" s="8"/>
      <c r="EL1537" s="8"/>
      <c r="EM1537" s="8"/>
      <c r="EN1537" s="8"/>
      <c r="EO1537" s="8"/>
      <c r="EP1537" s="8"/>
      <c r="EQ1537" s="8"/>
      <c r="ER1537" s="8"/>
      <c r="ES1537" s="8"/>
      <c r="ET1537" s="8"/>
      <c r="EU1537" s="8"/>
      <c r="EV1537" s="8"/>
      <c r="EW1537" s="8"/>
      <c r="EX1537" s="8"/>
      <c r="EY1537" s="8"/>
      <c r="EZ1537" s="8"/>
      <c r="FA1537" s="8"/>
      <c r="FB1537" s="8"/>
      <c r="FC1537" s="8"/>
      <c r="FD1537" s="8"/>
      <c r="FE1537" s="8"/>
      <c r="FF1537" s="8"/>
      <c r="FG1537" s="8"/>
      <c r="FH1537" s="8"/>
      <c r="FI1537" s="8"/>
      <c r="FJ1537" s="8"/>
      <c r="FK1537" s="8"/>
      <c r="FL1537" s="8"/>
      <c r="FM1537" s="8"/>
      <c r="FN1537" s="8"/>
      <c r="FO1537" s="8"/>
      <c r="FP1537" s="8"/>
      <c r="FQ1537" s="8"/>
      <c r="FR1537" s="8"/>
      <c r="FS1537" s="8"/>
      <c r="FT1537" s="8"/>
      <c r="FU1537" s="8"/>
      <c r="FV1537" s="8"/>
      <c r="FW1537" s="8"/>
      <c r="FX1537" s="8"/>
      <c r="FY1537" s="8"/>
      <c r="FZ1537" s="8"/>
      <c r="GA1537" s="8"/>
      <c r="GB1537" s="8"/>
      <c r="GC1537" s="8"/>
      <c r="GD1537" s="8"/>
      <c r="GE1537" s="8"/>
      <c r="GF1537" s="8"/>
      <c r="GG1537" s="8"/>
      <c r="GH1537" s="8"/>
      <c r="GI1537" s="8"/>
      <c r="GJ1537" s="8"/>
      <c r="GK1537" s="8"/>
      <c r="GL1537" s="8"/>
      <c r="GM1537" s="8"/>
      <c r="GN1537" s="8"/>
      <c r="GO1537" s="8"/>
      <c r="GP1537" s="8"/>
      <c r="GQ1537" s="8"/>
      <c r="GR1537" s="8"/>
      <c r="GS1537" s="8"/>
      <c r="GT1537" s="8"/>
      <c r="GU1537" s="8"/>
      <c r="GV1537" s="8"/>
      <c r="GW1537" s="8"/>
      <c r="GX1537" s="8"/>
      <c r="GY1537" s="8"/>
      <c r="GZ1537" s="8"/>
      <c r="HA1537" s="8"/>
      <c r="HB1537" s="8"/>
      <c r="HC1537" s="8"/>
      <c r="HD1537" s="8"/>
      <c r="HE1537" s="8"/>
      <c r="HF1537" s="8"/>
      <c r="HG1537" s="8"/>
      <c r="HH1537" s="8"/>
      <c r="HI1537" s="8"/>
      <c r="HJ1537" s="8"/>
      <c r="HK1537" s="8"/>
      <c r="HL1537" s="8"/>
      <c r="HM1537" s="8"/>
      <c r="HN1537" s="8"/>
      <c r="HO1537" s="8"/>
      <c r="HP1537" s="8"/>
      <c r="HQ1537" s="8"/>
      <c r="HR1537" s="8"/>
      <c r="HS1537" s="8"/>
      <c r="HT1537" s="8"/>
      <c r="HU1537" s="8"/>
      <c r="HV1537" s="8"/>
      <c r="HW1537" s="8"/>
      <c r="HX1537" s="8"/>
      <c r="HY1537" s="8"/>
      <c r="HZ1537" s="8"/>
      <c r="IA1537" s="8"/>
      <c r="IB1537" s="8"/>
      <c r="IC1537" s="8"/>
      <c r="ID1537" s="8"/>
      <c r="IE1537" s="8"/>
      <c r="IF1537" s="8"/>
    </row>
    <row r="1538" spans="1:240">
      <c r="A1538" s="14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8"/>
      <c r="AP1538" s="8"/>
      <c r="AQ1538" s="8"/>
      <c r="AR1538" s="8"/>
      <c r="AS1538" s="8"/>
      <c r="AT1538" s="8"/>
      <c r="AU1538" s="8"/>
      <c r="AV1538" s="8"/>
      <c r="AW1538" s="8"/>
      <c r="AX1538" s="8"/>
      <c r="AY1538" s="8"/>
      <c r="AZ1538" s="8"/>
      <c r="BA1538" s="8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8"/>
      <c r="BS1538" s="8"/>
      <c r="BT1538" s="8"/>
      <c r="BU1538" s="8"/>
      <c r="BV1538" s="8"/>
      <c r="BW1538" s="8"/>
      <c r="BX1538" s="8"/>
      <c r="BY1538" s="8"/>
      <c r="BZ1538" s="8"/>
      <c r="CA1538" s="8"/>
      <c r="CB1538" s="8"/>
      <c r="CC1538" s="8"/>
      <c r="CD1538" s="8"/>
      <c r="CE1538" s="8"/>
      <c r="CF1538" s="8"/>
      <c r="CG1538" s="8"/>
      <c r="CH1538" s="8"/>
      <c r="CI1538" s="8"/>
      <c r="CJ1538" s="8"/>
      <c r="CK1538" s="8"/>
      <c r="CL1538" s="8"/>
      <c r="CM1538" s="8"/>
      <c r="CN1538" s="8"/>
      <c r="CO1538" s="8"/>
      <c r="CP1538" s="8"/>
      <c r="CQ1538" s="8"/>
      <c r="CR1538" s="8"/>
      <c r="CS1538" s="8"/>
      <c r="CT1538" s="8"/>
      <c r="CU1538" s="8"/>
      <c r="CV1538" s="8"/>
      <c r="CW1538" s="8"/>
      <c r="CX1538" s="8"/>
      <c r="CY1538" s="8"/>
      <c r="CZ1538" s="8"/>
      <c r="DA1538" s="8"/>
      <c r="DB1538" s="8"/>
      <c r="DC1538" s="8"/>
      <c r="DD1538" s="8"/>
      <c r="DE1538" s="8"/>
      <c r="DF1538" s="8"/>
      <c r="DG1538" s="8"/>
      <c r="DH1538" s="8"/>
      <c r="DI1538" s="8"/>
      <c r="DJ1538" s="8"/>
      <c r="DK1538" s="8"/>
      <c r="DL1538" s="8"/>
      <c r="DM1538" s="8"/>
      <c r="DN1538" s="8"/>
      <c r="DO1538" s="8"/>
      <c r="DP1538" s="8"/>
      <c r="DQ1538" s="8"/>
      <c r="DR1538" s="8"/>
      <c r="DS1538" s="8"/>
      <c r="DT1538" s="8"/>
      <c r="DU1538" s="8"/>
      <c r="DV1538" s="8"/>
      <c r="DW1538" s="8"/>
      <c r="DX1538" s="8"/>
      <c r="DY1538" s="8"/>
      <c r="DZ1538" s="8"/>
      <c r="EA1538" s="8"/>
      <c r="EB1538" s="8"/>
      <c r="EC1538" s="8"/>
      <c r="ED1538" s="8"/>
      <c r="EE1538" s="8"/>
      <c r="EF1538" s="8"/>
      <c r="EG1538" s="8"/>
      <c r="EH1538" s="8"/>
      <c r="EI1538" s="8"/>
      <c r="EJ1538" s="8"/>
      <c r="EK1538" s="8"/>
      <c r="EL1538" s="8"/>
      <c r="EM1538" s="8"/>
      <c r="EN1538" s="8"/>
      <c r="EO1538" s="8"/>
      <c r="EP1538" s="8"/>
      <c r="EQ1538" s="8"/>
      <c r="ER1538" s="8"/>
      <c r="ES1538" s="8"/>
      <c r="ET1538" s="8"/>
      <c r="EU1538" s="8"/>
      <c r="EV1538" s="8"/>
      <c r="EW1538" s="8"/>
      <c r="EX1538" s="8"/>
      <c r="EY1538" s="8"/>
      <c r="EZ1538" s="8"/>
      <c r="FA1538" s="8"/>
      <c r="FB1538" s="8"/>
      <c r="FC1538" s="8"/>
      <c r="FD1538" s="8"/>
      <c r="FE1538" s="8"/>
      <c r="FF1538" s="8"/>
      <c r="FG1538" s="8"/>
      <c r="FH1538" s="8"/>
      <c r="FI1538" s="8"/>
      <c r="FJ1538" s="8"/>
      <c r="FK1538" s="8"/>
      <c r="FL1538" s="8"/>
      <c r="FM1538" s="8"/>
      <c r="FN1538" s="8"/>
      <c r="FO1538" s="8"/>
      <c r="FP1538" s="8"/>
      <c r="FQ1538" s="8"/>
      <c r="FR1538" s="8"/>
      <c r="FS1538" s="8"/>
      <c r="FT1538" s="8"/>
      <c r="FU1538" s="8"/>
      <c r="FV1538" s="8"/>
      <c r="FW1538" s="8"/>
      <c r="FX1538" s="8"/>
      <c r="FY1538" s="8"/>
      <c r="FZ1538" s="8"/>
      <c r="GA1538" s="8"/>
      <c r="GB1538" s="8"/>
      <c r="GC1538" s="8"/>
      <c r="GD1538" s="8"/>
      <c r="GE1538" s="8"/>
      <c r="GF1538" s="8"/>
      <c r="GG1538" s="8"/>
      <c r="GH1538" s="8"/>
      <c r="GI1538" s="8"/>
      <c r="GJ1538" s="8"/>
      <c r="GK1538" s="8"/>
      <c r="GL1538" s="8"/>
      <c r="GM1538" s="8"/>
      <c r="GN1538" s="8"/>
      <c r="GO1538" s="8"/>
      <c r="GP1538" s="8"/>
      <c r="GQ1538" s="8"/>
      <c r="GR1538" s="8"/>
      <c r="GS1538" s="8"/>
      <c r="GT1538" s="8"/>
      <c r="GU1538" s="8"/>
      <c r="GV1538" s="8"/>
      <c r="GW1538" s="8"/>
      <c r="GX1538" s="8"/>
      <c r="GY1538" s="8"/>
      <c r="GZ1538" s="8"/>
      <c r="HA1538" s="8"/>
      <c r="HB1538" s="8"/>
      <c r="HC1538" s="8"/>
      <c r="HD1538" s="8"/>
      <c r="HE1538" s="8"/>
      <c r="HF1538" s="8"/>
      <c r="HG1538" s="8"/>
      <c r="HH1538" s="8"/>
      <c r="HI1538" s="8"/>
      <c r="HJ1538" s="8"/>
      <c r="HK1538" s="8"/>
      <c r="HL1538" s="8"/>
      <c r="HM1538" s="8"/>
      <c r="HN1538" s="8"/>
      <c r="HO1538" s="8"/>
      <c r="HP1538" s="8"/>
      <c r="HQ1538" s="8"/>
      <c r="HR1538" s="8"/>
      <c r="HS1538" s="8"/>
      <c r="HT1538" s="8"/>
      <c r="HU1538" s="8"/>
      <c r="HV1538" s="8"/>
      <c r="HW1538" s="8"/>
      <c r="HX1538" s="8"/>
      <c r="HY1538" s="8"/>
      <c r="HZ1538" s="8"/>
      <c r="IA1538" s="8"/>
      <c r="IB1538" s="8"/>
      <c r="IC1538" s="8"/>
      <c r="ID1538" s="8"/>
      <c r="IE1538" s="8"/>
      <c r="IF1538" s="8"/>
    </row>
    <row r="1539" spans="1:240">
      <c r="A1539" s="14"/>
      <c r="B1539" s="23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  <c r="AJ1539" s="23"/>
      <c r="AK1539" s="23"/>
      <c r="AL1539" s="23"/>
      <c r="AM1539" s="23"/>
      <c r="AN1539" s="23"/>
      <c r="AO1539" s="8"/>
      <c r="AP1539" s="8"/>
      <c r="AQ1539" s="8"/>
      <c r="AR1539" s="8"/>
      <c r="AS1539" s="8"/>
      <c r="AT1539" s="8"/>
      <c r="AU1539" s="8"/>
      <c r="AV1539" s="8"/>
      <c r="AW1539" s="8"/>
      <c r="AX1539" s="8"/>
      <c r="AY1539" s="8"/>
      <c r="AZ1539" s="8"/>
      <c r="BA1539" s="8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8"/>
      <c r="BS1539" s="8"/>
      <c r="BT1539" s="8"/>
      <c r="BU1539" s="8"/>
      <c r="BV1539" s="8"/>
      <c r="BW1539" s="8"/>
      <c r="BX1539" s="8"/>
      <c r="BY1539" s="8"/>
      <c r="BZ1539" s="8"/>
      <c r="CA1539" s="8"/>
      <c r="CB1539" s="8"/>
      <c r="CC1539" s="8"/>
      <c r="CD1539" s="8"/>
      <c r="CE1539" s="8"/>
      <c r="CF1539" s="8"/>
      <c r="CG1539" s="8"/>
      <c r="CH1539" s="8"/>
      <c r="CI1539" s="8"/>
      <c r="CJ1539" s="8"/>
      <c r="CK1539" s="8"/>
      <c r="CL1539" s="8"/>
      <c r="CM1539" s="8"/>
      <c r="CN1539" s="8"/>
      <c r="CO1539" s="8"/>
      <c r="CP1539" s="8"/>
      <c r="CQ1539" s="8"/>
      <c r="CR1539" s="8"/>
      <c r="CS1539" s="8"/>
      <c r="CT1539" s="8"/>
      <c r="CU1539" s="8"/>
      <c r="CV1539" s="8"/>
      <c r="CW1539" s="8"/>
      <c r="CX1539" s="8"/>
      <c r="CY1539" s="8"/>
      <c r="CZ1539" s="8"/>
      <c r="DA1539" s="8"/>
      <c r="DB1539" s="8"/>
      <c r="DC1539" s="8"/>
      <c r="DD1539" s="8"/>
      <c r="DE1539" s="8"/>
      <c r="DF1539" s="8"/>
      <c r="DG1539" s="8"/>
      <c r="DH1539" s="8"/>
      <c r="DI1539" s="8"/>
      <c r="DJ1539" s="8"/>
      <c r="DK1539" s="8"/>
      <c r="DL1539" s="8"/>
      <c r="DM1539" s="8"/>
      <c r="DN1539" s="8"/>
      <c r="DO1539" s="8"/>
      <c r="DP1539" s="8"/>
      <c r="DQ1539" s="8"/>
      <c r="DR1539" s="8"/>
      <c r="DS1539" s="8"/>
      <c r="DT1539" s="8"/>
      <c r="DU1539" s="8"/>
      <c r="DV1539" s="8"/>
      <c r="DW1539" s="8"/>
      <c r="DX1539" s="8"/>
      <c r="DY1539" s="8"/>
      <c r="DZ1539" s="8"/>
      <c r="EA1539" s="8"/>
      <c r="EB1539" s="8"/>
      <c r="EC1539" s="8"/>
      <c r="ED1539" s="8"/>
      <c r="EE1539" s="8"/>
      <c r="EF1539" s="8"/>
      <c r="EG1539" s="8"/>
      <c r="EH1539" s="8"/>
      <c r="EI1539" s="8"/>
      <c r="EJ1539" s="8"/>
      <c r="EK1539" s="8"/>
      <c r="EL1539" s="8"/>
      <c r="EM1539" s="8"/>
      <c r="EN1539" s="8"/>
      <c r="EO1539" s="8"/>
      <c r="EP1539" s="8"/>
      <c r="EQ1539" s="8"/>
      <c r="ER1539" s="8"/>
      <c r="ES1539" s="8"/>
      <c r="ET1539" s="8"/>
      <c r="EU1539" s="8"/>
      <c r="EV1539" s="8"/>
      <c r="EW1539" s="8"/>
      <c r="EX1539" s="8"/>
      <c r="EY1539" s="8"/>
      <c r="EZ1539" s="8"/>
      <c r="FA1539" s="8"/>
      <c r="FB1539" s="8"/>
      <c r="FC1539" s="8"/>
      <c r="FD1539" s="8"/>
      <c r="FE1539" s="8"/>
      <c r="FF1539" s="8"/>
      <c r="FG1539" s="8"/>
      <c r="FH1539" s="8"/>
      <c r="FI1539" s="8"/>
      <c r="FJ1539" s="8"/>
      <c r="FK1539" s="8"/>
      <c r="FL1539" s="8"/>
      <c r="FM1539" s="8"/>
      <c r="FN1539" s="8"/>
      <c r="FO1539" s="8"/>
      <c r="FP1539" s="8"/>
      <c r="FQ1539" s="8"/>
      <c r="FR1539" s="8"/>
      <c r="FS1539" s="8"/>
      <c r="FT1539" s="8"/>
      <c r="FU1539" s="8"/>
      <c r="FV1539" s="8"/>
      <c r="FW1539" s="8"/>
      <c r="FX1539" s="8"/>
      <c r="FY1539" s="8"/>
      <c r="FZ1539" s="8"/>
      <c r="GA1539" s="8"/>
      <c r="GB1539" s="8"/>
      <c r="GC1539" s="8"/>
      <c r="GD1539" s="8"/>
      <c r="GE1539" s="8"/>
      <c r="GF1539" s="8"/>
      <c r="GG1539" s="8"/>
      <c r="GH1539" s="8"/>
      <c r="GI1539" s="8"/>
      <c r="GJ1539" s="8"/>
      <c r="GK1539" s="8"/>
      <c r="GL1539" s="8"/>
      <c r="GM1539" s="8"/>
      <c r="GN1539" s="8"/>
      <c r="GO1539" s="8"/>
      <c r="GP1539" s="8"/>
      <c r="GQ1539" s="8"/>
      <c r="GR1539" s="8"/>
      <c r="GS1539" s="8"/>
      <c r="GT1539" s="8"/>
      <c r="GU1539" s="8"/>
      <c r="GV1539" s="8"/>
      <c r="GW1539" s="8"/>
      <c r="GX1539" s="8"/>
      <c r="GY1539" s="8"/>
      <c r="GZ1539" s="8"/>
      <c r="HA1539" s="8"/>
      <c r="HB1539" s="8"/>
      <c r="HC1539" s="8"/>
      <c r="HD1539" s="8"/>
      <c r="HE1539" s="8"/>
      <c r="HF1539" s="8"/>
      <c r="HG1539" s="8"/>
      <c r="HH1539" s="8"/>
      <c r="HI1539" s="8"/>
      <c r="HJ1539" s="8"/>
      <c r="HK1539" s="8"/>
      <c r="HL1539" s="8"/>
      <c r="HM1539" s="8"/>
      <c r="HN1539" s="8"/>
      <c r="HO1539" s="8"/>
      <c r="HP1539" s="8"/>
      <c r="HQ1539" s="8"/>
      <c r="HR1539" s="8"/>
      <c r="HS1539" s="8"/>
      <c r="HT1539" s="8"/>
      <c r="HU1539" s="8"/>
      <c r="HV1539" s="8"/>
      <c r="HW1539" s="8"/>
      <c r="HX1539" s="8"/>
      <c r="HY1539" s="8"/>
      <c r="HZ1539" s="8"/>
      <c r="IA1539" s="8"/>
      <c r="IB1539" s="8"/>
      <c r="IC1539" s="8"/>
      <c r="ID1539" s="8"/>
      <c r="IE1539" s="8"/>
      <c r="IF1539" s="8"/>
    </row>
    <row r="1540" spans="1:240">
      <c r="A1540" s="14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  <c r="AJ1540" s="23"/>
      <c r="AK1540" s="23"/>
      <c r="AL1540" s="23"/>
      <c r="AM1540" s="23"/>
      <c r="AN1540" s="23"/>
      <c r="AO1540" s="8"/>
      <c r="AP1540" s="8"/>
      <c r="AQ1540" s="8"/>
      <c r="AR1540" s="8"/>
      <c r="AS1540" s="8"/>
      <c r="AT1540" s="8"/>
      <c r="AU1540" s="8"/>
      <c r="AV1540" s="8"/>
      <c r="AW1540" s="8"/>
      <c r="AX1540" s="8"/>
      <c r="AY1540" s="8"/>
      <c r="AZ1540" s="8"/>
      <c r="BA1540" s="8"/>
      <c r="BB1540" s="8"/>
      <c r="BC1540" s="8"/>
      <c r="BD1540" s="8"/>
      <c r="BE1540" s="8"/>
      <c r="BF1540" s="8"/>
      <c r="BG1540" s="8"/>
      <c r="BH1540" s="8"/>
      <c r="BI1540" s="8"/>
      <c r="BJ1540" s="8"/>
      <c r="BK1540" s="8"/>
      <c r="BL1540" s="8"/>
      <c r="BM1540" s="8"/>
      <c r="BN1540" s="8"/>
      <c r="BO1540" s="8"/>
      <c r="BP1540" s="8"/>
      <c r="BQ1540" s="8"/>
      <c r="BR1540" s="8"/>
      <c r="BS1540" s="8"/>
      <c r="BT1540" s="8"/>
      <c r="BU1540" s="8"/>
      <c r="BV1540" s="8"/>
      <c r="BW1540" s="8"/>
      <c r="BX1540" s="8"/>
      <c r="BY1540" s="8"/>
      <c r="BZ1540" s="8"/>
      <c r="CA1540" s="8"/>
      <c r="CB1540" s="8"/>
      <c r="CC1540" s="8"/>
      <c r="CD1540" s="8"/>
      <c r="CE1540" s="8"/>
      <c r="CF1540" s="8"/>
      <c r="CG1540" s="8"/>
      <c r="CH1540" s="8"/>
      <c r="CI1540" s="8"/>
      <c r="CJ1540" s="8"/>
      <c r="CK1540" s="8"/>
      <c r="CL1540" s="8"/>
      <c r="CM1540" s="8"/>
      <c r="CN1540" s="8"/>
      <c r="CO1540" s="8"/>
      <c r="CP1540" s="8"/>
      <c r="CQ1540" s="8"/>
      <c r="CR1540" s="8"/>
      <c r="CS1540" s="8"/>
      <c r="CT1540" s="8"/>
      <c r="CU1540" s="8"/>
      <c r="CV1540" s="8"/>
      <c r="CW1540" s="8"/>
      <c r="CX1540" s="8"/>
      <c r="CY1540" s="8"/>
      <c r="CZ1540" s="8"/>
      <c r="DA1540" s="8"/>
      <c r="DB1540" s="8"/>
      <c r="DC1540" s="8"/>
      <c r="DD1540" s="8"/>
      <c r="DE1540" s="8"/>
      <c r="DF1540" s="8"/>
      <c r="DG1540" s="8"/>
      <c r="DH1540" s="8"/>
      <c r="DI1540" s="8"/>
      <c r="DJ1540" s="8"/>
      <c r="DK1540" s="8"/>
      <c r="DL1540" s="8"/>
      <c r="DM1540" s="8"/>
      <c r="DN1540" s="8"/>
      <c r="DO1540" s="8"/>
      <c r="DP1540" s="8"/>
      <c r="DQ1540" s="8"/>
      <c r="DR1540" s="8"/>
      <c r="DS1540" s="8"/>
      <c r="DT1540" s="8"/>
      <c r="DU1540" s="8"/>
      <c r="DV1540" s="8"/>
      <c r="DW1540" s="8"/>
      <c r="DX1540" s="8"/>
      <c r="DY1540" s="8"/>
      <c r="DZ1540" s="8"/>
      <c r="EA1540" s="8"/>
      <c r="EB1540" s="8"/>
      <c r="EC1540" s="8"/>
      <c r="ED1540" s="8"/>
      <c r="EE1540" s="8"/>
      <c r="EF1540" s="8"/>
      <c r="EG1540" s="8"/>
      <c r="EH1540" s="8"/>
      <c r="EI1540" s="8"/>
      <c r="EJ1540" s="8"/>
      <c r="EK1540" s="8"/>
      <c r="EL1540" s="8"/>
      <c r="EM1540" s="8"/>
      <c r="EN1540" s="8"/>
      <c r="EO1540" s="8"/>
      <c r="EP1540" s="8"/>
      <c r="EQ1540" s="8"/>
      <c r="ER1540" s="8"/>
      <c r="ES1540" s="8"/>
      <c r="ET1540" s="8"/>
      <c r="EU1540" s="8"/>
      <c r="EV1540" s="8"/>
      <c r="EW1540" s="8"/>
      <c r="EX1540" s="8"/>
      <c r="EY1540" s="8"/>
      <c r="EZ1540" s="8"/>
      <c r="FA1540" s="8"/>
      <c r="FB1540" s="8"/>
      <c r="FC1540" s="8"/>
      <c r="FD1540" s="8"/>
      <c r="FE1540" s="8"/>
      <c r="FF1540" s="8"/>
      <c r="FG1540" s="8"/>
      <c r="FH1540" s="8"/>
      <c r="FI1540" s="8"/>
      <c r="FJ1540" s="8"/>
      <c r="FK1540" s="8"/>
      <c r="FL1540" s="8"/>
      <c r="FM1540" s="8"/>
      <c r="FN1540" s="8"/>
      <c r="FO1540" s="8"/>
      <c r="FP1540" s="8"/>
      <c r="FQ1540" s="8"/>
      <c r="FR1540" s="8"/>
      <c r="FS1540" s="8"/>
      <c r="FT1540" s="8"/>
      <c r="FU1540" s="8"/>
      <c r="FV1540" s="8"/>
      <c r="FW1540" s="8"/>
      <c r="FX1540" s="8"/>
      <c r="FY1540" s="8"/>
      <c r="FZ1540" s="8"/>
      <c r="GA1540" s="8"/>
      <c r="GB1540" s="8"/>
      <c r="GC1540" s="8"/>
      <c r="GD1540" s="8"/>
      <c r="GE1540" s="8"/>
      <c r="GF1540" s="8"/>
      <c r="GG1540" s="8"/>
      <c r="GH1540" s="8"/>
      <c r="GI1540" s="8"/>
      <c r="GJ1540" s="8"/>
      <c r="GK1540" s="8"/>
      <c r="GL1540" s="8"/>
      <c r="GM1540" s="8"/>
      <c r="GN1540" s="8"/>
      <c r="GO1540" s="8"/>
      <c r="GP1540" s="8"/>
      <c r="GQ1540" s="8"/>
      <c r="GR1540" s="8"/>
      <c r="GS1540" s="8"/>
      <c r="GT1540" s="8"/>
      <c r="GU1540" s="8"/>
      <c r="GV1540" s="8"/>
      <c r="GW1540" s="8"/>
      <c r="GX1540" s="8"/>
      <c r="GY1540" s="8"/>
      <c r="GZ1540" s="8"/>
      <c r="HA1540" s="8"/>
      <c r="HB1540" s="8"/>
      <c r="HC1540" s="8"/>
      <c r="HD1540" s="8"/>
      <c r="HE1540" s="8"/>
      <c r="HF1540" s="8"/>
      <c r="HG1540" s="8"/>
      <c r="HH1540" s="8"/>
      <c r="HI1540" s="8"/>
      <c r="HJ1540" s="8"/>
      <c r="HK1540" s="8"/>
      <c r="HL1540" s="8"/>
      <c r="HM1540" s="8"/>
      <c r="HN1540" s="8"/>
      <c r="HO1540" s="8"/>
      <c r="HP1540" s="8"/>
      <c r="HQ1540" s="8"/>
      <c r="HR1540" s="8"/>
      <c r="HS1540" s="8"/>
      <c r="HT1540" s="8"/>
      <c r="HU1540" s="8"/>
      <c r="HV1540" s="8"/>
      <c r="HW1540" s="8"/>
      <c r="HX1540" s="8"/>
      <c r="HY1540" s="8"/>
      <c r="HZ1540" s="8"/>
      <c r="IA1540" s="8"/>
      <c r="IB1540" s="8"/>
      <c r="IC1540" s="8"/>
      <c r="ID1540" s="8"/>
      <c r="IE1540" s="8"/>
      <c r="IF1540" s="8"/>
    </row>
    <row r="1541" spans="1:240">
      <c r="A1541" s="14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8"/>
      <c r="BS1541" s="8"/>
      <c r="BT1541" s="8"/>
      <c r="BU1541" s="8"/>
      <c r="BV1541" s="8"/>
      <c r="BW1541" s="8"/>
      <c r="BX1541" s="8"/>
      <c r="BY1541" s="8"/>
      <c r="BZ1541" s="8"/>
      <c r="CA1541" s="8"/>
      <c r="CB1541" s="8"/>
      <c r="CC1541" s="8"/>
      <c r="CD1541" s="8"/>
      <c r="CE1541" s="8"/>
      <c r="CF1541" s="8"/>
      <c r="CG1541" s="8"/>
      <c r="CH1541" s="8"/>
      <c r="CI1541" s="8"/>
      <c r="CJ1541" s="8"/>
      <c r="CK1541" s="8"/>
      <c r="CL1541" s="8"/>
      <c r="CM1541" s="8"/>
      <c r="CN1541" s="8"/>
      <c r="CO1541" s="8"/>
      <c r="CP1541" s="8"/>
      <c r="CQ1541" s="8"/>
      <c r="CR1541" s="8"/>
      <c r="CS1541" s="8"/>
      <c r="CT1541" s="8"/>
      <c r="CU1541" s="8"/>
      <c r="CV1541" s="8"/>
      <c r="CW1541" s="8"/>
      <c r="CX1541" s="8"/>
      <c r="CY1541" s="8"/>
      <c r="CZ1541" s="8"/>
      <c r="DA1541" s="8"/>
      <c r="DB1541" s="8"/>
      <c r="DC1541" s="8"/>
      <c r="DD1541" s="8"/>
      <c r="DE1541" s="8"/>
      <c r="DF1541" s="8"/>
      <c r="DG1541" s="8"/>
      <c r="DH1541" s="8"/>
      <c r="DI1541" s="8"/>
      <c r="DJ1541" s="8"/>
      <c r="DK1541" s="8"/>
      <c r="DL1541" s="8"/>
      <c r="DM1541" s="8"/>
      <c r="DN1541" s="8"/>
      <c r="DO1541" s="8"/>
      <c r="DP1541" s="8"/>
      <c r="DQ1541" s="8"/>
      <c r="DR1541" s="8"/>
      <c r="DS1541" s="8"/>
      <c r="DT1541" s="8"/>
      <c r="DU1541" s="8"/>
      <c r="DV1541" s="8"/>
      <c r="DW1541" s="8"/>
      <c r="DX1541" s="8"/>
      <c r="DY1541" s="8"/>
      <c r="DZ1541" s="8"/>
      <c r="EA1541" s="8"/>
      <c r="EB1541" s="8"/>
      <c r="EC1541" s="8"/>
      <c r="ED1541" s="8"/>
      <c r="EE1541" s="8"/>
      <c r="EF1541" s="8"/>
      <c r="EG1541" s="8"/>
      <c r="EH1541" s="8"/>
      <c r="EI1541" s="8"/>
      <c r="EJ1541" s="8"/>
      <c r="EK1541" s="8"/>
      <c r="EL1541" s="8"/>
      <c r="EM1541" s="8"/>
      <c r="EN1541" s="8"/>
      <c r="EO1541" s="8"/>
      <c r="EP1541" s="8"/>
      <c r="EQ1541" s="8"/>
      <c r="ER1541" s="8"/>
      <c r="ES1541" s="8"/>
      <c r="ET1541" s="8"/>
      <c r="EU1541" s="8"/>
      <c r="EV1541" s="8"/>
      <c r="EW1541" s="8"/>
      <c r="EX1541" s="8"/>
      <c r="EY1541" s="8"/>
      <c r="EZ1541" s="8"/>
      <c r="FA1541" s="8"/>
      <c r="FB1541" s="8"/>
      <c r="FC1541" s="8"/>
      <c r="FD1541" s="8"/>
      <c r="FE1541" s="8"/>
      <c r="FF1541" s="8"/>
      <c r="FG1541" s="8"/>
      <c r="FH1541" s="8"/>
      <c r="FI1541" s="8"/>
      <c r="FJ1541" s="8"/>
      <c r="FK1541" s="8"/>
      <c r="FL1541" s="8"/>
      <c r="FM1541" s="8"/>
      <c r="FN1541" s="8"/>
      <c r="FO1541" s="8"/>
      <c r="FP1541" s="8"/>
      <c r="FQ1541" s="8"/>
      <c r="FR1541" s="8"/>
      <c r="FS1541" s="8"/>
      <c r="FT1541" s="8"/>
      <c r="FU1541" s="8"/>
      <c r="FV1541" s="8"/>
      <c r="FW1541" s="8"/>
      <c r="FX1541" s="8"/>
      <c r="FY1541" s="8"/>
      <c r="FZ1541" s="8"/>
      <c r="GA1541" s="8"/>
      <c r="GB1541" s="8"/>
      <c r="GC1541" s="8"/>
      <c r="GD1541" s="8"/>
      <c r="GE1541" s="8"/>
      <c r="GF1541" s="8"/>
      <c r="GG1541" s="8"/>
      <c r="GH1541" s="8"/>
      <c r="GI1541" s="8"/>
      <c r="GJ1541" s="8"/>
      <c r="GK1541" s="8"/>
      <c r="GL1541" s="8"/>
      <c r="GM1541" s="8"/>
      <c r="GN1541" s="8"/>
      <c r="GO1541" s="8"/>
      <c r="GP1541" s="8"/>
      <c r="GQ1541" s="8"/>
      <c r="GR1541" s="8"/>
      <c r="GS1541" s="8"/>
      <c r="GT1541" s="8"/>
      <c r="GU1541" s="8"/>
      <c r="GV1541" s="8"/>
      <c r="GW1541" s="8"/>
      <c r="GX1541" s="8"/>
      <c r="GY1541" s="8"/>
      <c r="GZ1541" s="8"/>
      <c r="HA1541" s="8"/>
      <c r="HB1541" s="8"/>
      <c r="HC1541" s="8"/>
      <c r="HD1541" s="8"/>
      <c r="HE1541" s="8"/>
      <c r="HF1541" s="8"/>
      <c r="HG1541" s="8"/>
      <c r="HH1541" s="8"/>
      <c r="HI1541" s="8"/>
      <c r="HJ1541" s="8"/>
      <c r="HK1541" s="8"/>
      <c r="HL1541" s="8"/>
      <c r="HM1541" s="8"/>
      <c r="HN1541" s="8"/>
      <c r="HO1541" s="8"/>
      <c r="HP1541" s="8"/>
      <c r="HQ1541" s="8"/>
      <c r="HR1541" s="8"/>
      <c r="HS1541" s="8"/>
      <c r="HT1541" s="8"/>
      <c r="HU1541" s="8"/>
      <c r="HV1541" s="8"/>
      <c r="HW1541" s="8"/>
      <c r="HX1541" s="8"/>
      <c r="HY1541" s="8"/>
      <c r="HZ1541" s="8"/>
      <c r="IA1541" s="8"/>
      <c r="IB1541" s="8"/>
      <c r="IC1541" s="8"/>
      <c r="ID1541" s="8"/>
      <c r="IE1541" s="8"/>
      <c r="IF1541" s="8"/>
    </row>
    <row r="1542" spans="1:240">
      <c r="A1542" s="14"/>
      <c r="B1542" s="23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8"/>
      <c r="AP1542" s="8"/>
      <c r="AQ1542" s="8"/>
      <c r="AR1542" s="8"/>
      <c r="AS1542" s="8"/>
      <c r="AT1542" s="8"/>
      <c r="AU1542" s="8"/>
      <c r="AV1542" s="8"/>
      <c r="AW1542" s="8"/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8"/>
      <c r="BS1542" s="8"/>
      <c r="BT1542" s="8"/>
      <c r="BU1542" s="8"/>
      <c r="BV1542" s="8"/>
      <c r="BW1542" s="8"/>
      <c r="BX1542" s="8"/>
      <c r="BY1542" s="8"/>
      <c r="BZ1542" s="8"/>
      <c r="CA1542" s="8"/>
      <c r="CB1542" s="8"/>
      <c r="CC1542" s="8"/>
      <c r="CD1542" s="8"/>
      <c r="CE1542" s="8"/>
      <c r="CF1542" s="8"/>
      <c r="CG1542" s="8"/>
      <c r="CH1542" s="8"/>
      <c r="CI1542" s="8"/>
      <c r="CJ1542" s="8"/>
      <c r="CK1542" s="8"/>
      <c r="CL1542" s="8"/>
      <c r="CM1542" s="8"/>
      <c r="CN1542" s="8"/>
      <c r="CO1542" s="8"/>
      <c r="CP1542" s="8"/>
      <c r="CQ1542" s="8"/>
      <c r="CR1542" s="8"/>
      <c r="CS1542" s="8"/>
      <c r="CT1542" s="8"/>
      <c r="CU1542" s="8"/>
      <c r="CV1542" s="8"/>
      <c r="CW1542" s="8"/>
      <c r="CX1542" s="8"/>
      <c r="CY1542" s="8"/>
      <c r="CZ1542" s="8"/>
      <c r="DA1542" s="8"/>
      <c r="DB1542" s="8"/>
      <c r="DC1542" s="8"/>
      <c r="DD1542" s="8"/>
      <c r="DE1542" s="8"/>
      <c r="DF1542" s="8"/>
      <c r="DG1542" s="8"/>
      <c r="DH1542" s="8"/>
      <c r="DI1542" s="8"/>
      <c r="DJ1542" s="8"/>
      <c r="DK1542" s="8"/>
      <c r="DL1542" s="8"/>
      <c r="DM1542" s="8"/>
      <c r="DN1542" s="8"/>
      <c r="DO1542" s="8"/>
      <c r="DP1542" s="8"/>
      <c r="DQ1542" s="8"/>
      <c r="DR1542" s="8"/>
      <c r="DS1542" s="8"/>
      <c r="DT1542" s="8"/>
      <c r="DU1542" s="8"/>
      <c r="DV1542" s="8"/>
      <c r="DW1542" s="8"/>
      <c r="DX1542" s="8"/>
      <c r="DY1542" s="8"/>
      <c r="DZ1542" s="8"/>
      <c r="EA1542" s="8"/>
      <c r="EB1542" s="8"/>
      <c r="EC1542" s="8"/>
      <c r="ED1542" s="8"/>
      <c r="EE1542" s="8"/>
      <c r="EF1542" s="8"/>
      <c r="EG1542" s="8"/>
      <c r="EH1542" s="8"/>
      <c r="EI1542" s="8"/>
      <c r="EJ1542" s="8"/>
      <c r="EK1542" s="8"/>
      <c r="EL1542" s="8"/>
      <c r="EM1542" s="8"/>
      <c r="EN1542" s="8"/>
      <c r="EO1542" s="8"/>
      <c r="EP1542" s="8"/>
      <c r="EQ1542" s="8"/>
      <c r="ER1542" s="8"/>
      <c r="ES1542" s="8"/>
      <c r="ET1542" s="8"/>
      <c r="EU1542" s="8"/>
      <c r="EV1542" s="8"/>
      <c r="EW1542" s="8"/>
      <c r="EX1542" s="8"/>
      <c r="EY1542" s="8"/>
      <c r="EZ1542" s="8"/>
      <c r="FA1542" s="8"/>
      <c r="FB1542" s="8"/>
      <c r="FC1542" s="8"/>
      <c r="FD1542" s="8"/>
      <c r="FE1542" s="8"/>
      <c r="FF1542" s="8"/>
      <c r="FG1542" s="8"/>
      <c r="FH1542" s="8"/>
      <c r="FI1542" s="8"/>
      <c r="FJ1542" s="8"/>
      <c r="FK1542" s="8"/>
      <c r="FL1542" s="8"/>
      <c r="FM1542" s="8"/>
      <c r="FN1542" s="8"/>
      <c r="FO1542" s="8"/>
      <c r="FP1542" s="8"/>
      <c r="FQ1542" s="8"/>
      <c r="FR1542" s="8"/>
      <c r="FS1542" s="8"/>
      <c r="FT1542" s="8"/>
      <c r="FU1542" s="8"/>
      <c r="FV1542" s="8"/>
      <c r="FW1542" s="8"/>
      <c r="FX1542" s="8"/>
      <c r="FY1542" s="8"/>
      <c r="FZ1542" s="8"/>
      <c r="GA1542" s="8"/>
      <c r="GB1542" s="8"/>
      <c r="GC1542" s="8"/>
      <c r="GD1542" s="8"/>
      <c r="GE1542" s="8"/>
      <c r="GF1542" s="8"/>
      <c r="GG1542" s="8"/>
      <c r="GH1542" s="8"/>
      <c r="GI1542" s="8"/>
      <c r="GJ1542" s="8"/>
      <c r="GK1542" s="8"/>
      <c r="GL1542" s="8"/>
      <c r="GM1542" s="8"/>
      <c r="GN1542" s="8"/>
      <c r="GO1542" s="8"/>
      <c r="GP1542" s="8"/>
      <c r="GQ1542" s="8"/>
      <c r="GR1542" s="8"/>
      <c r="GS1542" s="8"/>
      <c r="GT1542" s="8"/>
      <c r="GU1542" s="8"/>
      <c r="GV1542" s="8"/>
      <c r="GW1542" s="8"/>
      <c r="GX1542" s="8"/>
      <c r="GY1542" s="8"/>
      <c r="GZ1542" s="8"/>
      <c r="HA1542" s="8"/>
      <c r="HB1542" s="8"/>
      <c r="HC1542" s="8"/>
      <c r="HD1542" s="8"/>
      <c r="HE1542" s="8"/>
      <c r="HF1542" s="8"/>
      <c r="HG1542" s="8"/>
      <c r="HH1542" s="8"/>
      <c r="HI1542" s="8"/>
      <c r="HJ1542" s="8"/>
      <c r="HK1542" s="8"/>
      <c r="HL1542" s="8"/>
      <c r="HM1542" s="8"/>
      <c r="HN1542" s="8"/>
      <c r="HO1542" s="8"/>
      <c r="HP1542" s="8"/>
      <c r="HQ1542" s="8"/>
      <c r="HR1542" s="8"/>
      <c r="HS1542" s="8"/>
      <c r="HT1542" s="8"/>
      <c r="HU1542" s="8"/>
      <c r="HV1542" s="8"/>
      <c r="HW1542" s="8"/>
      <c r="HX1542" s="8"/>
      <c r="HY1542" s="8"/>
      <c r="HZ1542" s="8"/>
      <c r="IA1542" s="8"/>
      <c r="IB1542" s="8"/>
      <c r="IC1542" s="8"/>
      <c r="ID1542" s="8"/>
      <c r="IE1542" s="8"/>
      <c r="IF1542" s="8"/>
    </row>
    <row r="1543" spans="1:240">
      <c r="A1543" s="14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/>
      <c r="BP1543" s="8"/>
      <c r="BQ1543" s="8"/>
      <c r="BR1543" s="8"/>
      <c r="BS1543" s="8"/>
      <c r="BT1543" s="8"/>
      <c r="BU1543" s="8"/>
      <c r="BV1543" s="8"/>
      <c r="BW1543" s="8"/>
      <c r="BX1543" s="8"/>
      <c r="BY1543" s="8"/>
      <c r="BZ1543" s="8"/>
      <c r="CA1543" s="8"/>
      <c r="CB1543" s="8"/>
      <c r="CC1543" s="8"/>
      <c r="CD1543" s="8"/>
      <c r="CE1543" s="8"/>
      <c r="CF1543" s="8"/>
      <c r="CG1543" s="8"/>
      <c r="CH1543" s="8"/>
      <c r="CI1543" s="8"/>
      <c r="CJ1543" s="8"/>
      <c r="CK1543" s="8"/>
      <c r="CL1543" s="8"/>
      <c r="CM1543" s="8"/>
      <c r="CN1543" s="8"/>
      <c r="CO1543" s="8"/>
      <c r="CP1543" s="8"/>
      <c r="CQ1543" s="8"/>
      <c r="CR1543" s="8"/>
      <c r="CS1543" s="8"/>
      <c r="CT1543" s="8"/>
      <c r="CU1543" s="8"/>
      <c r="CV1543" s="8"/>
      <c r="CW1543" s="8"/>
      <c r="CX1543" s="8"/>
      <c r="CY1543" s="8"/>
      <c r="CZ1543" s="8"/>
      <c r="DA1543" s="8"/>
      <c r="DB1543" s="8"/>
      <c r="DC1543" s="8"/>
      <c r="DD1543" s="8"/>
      <c r="DE1543" s="8"/>
      <c r="DF1543" s="8"/>
      <c r="DG1543" s="8"/>
      <c r="DH1543" s="8"/>
      <c r="DI1543" s="8"/>
      <c r="DJ1543" s="8"/>
      <c r="DK1543" s="8"/>
      <c r="DL1543" s="8"/>
      <c r="DM1543" s="8"/>
      <c r="DN1543" s="8"/>
      <c r="DO1543" s="8"/>
      <c r="DP1543" s="8"/>
      <c r="DQ1543" s="8"/>
      <c r="DR1543" s="8"/>
      <c r="DS1543" s="8"/>
      <c r="DT1543" s="8"/>
      <c r="DU1543" s="8"/>
      <c r="DV1543" s="8"/>
      <c r="DW1543" s="8"/>
      <c r="DX1543" s="8"/>
      <c r="DY1543" s="8"/>
      <c r="DZ1543" s="8"/>
      <c r="EA1543" s="8"/>
      <c r="EB1543" s="8"/>
      <c r="EC1543" s="8"/>
      <c r="ED1543" s="8"/>
      <c r="EE1543" s="8"/>
      <c r="EF1543" s="8"/>
      <c r="EG1543" s="8"/>
      <c r="EH1543" s="8"/>
      <c r="EI1543" s="8"/>
      <c r="EJ1543" s="8"/>
      <c r="EK1543" s="8"/>
      <c r="EL1543" s="8"/>
      <c r="EM1543" s="8"/>
      <c r="EN1543" s="8"/>
      <c r="EO1543" s="8"/>
      <c r="EP1543" s="8"/>
      <c r="EQ1543" s="8"/>
      <c r="ER1543" s="8"/>
      <c r="ES1543" s="8"/>
      <c r="ET1543" s="8"/>
      <c r="EU1543" s="8"/>
      <c r="EV1543" s="8"/>
      <c r="EW1543" s="8"/>
      <c r="EX1543" s="8"/>
      <c r="EY1543" s="8"/>
      <c r="EZ1543" s="8"/>
      <c r="FA1543" s="8"/>
      <c r="FB1543" s="8"/>
      <c r="FC1543" s="8"/>
      <c r="FD1543" s="8"/>
      <c r="FE1543" s="8"/>
      <c r="FF1543" s="8"/>
      <c r="FG1543" s="8"/>
      <c r="FH1543" s="8"/>
      <c r="FI1543" s="8"/>
      <c r="FJ1543" s="8"/>
      <c r="FK1543" s="8"/>
      <c r="FL1543" s="8"/>
      <c r="FM1543" s="8"/>
      <c r="FN1543" s="8"/>
      <c r="FO1543" s="8"/>
      <c r="FP1543" s="8"/>
      <c r="FQ1543" s="8"/>
      <c r="FR1543" s="8"/>
      <c r="FS1543" s="8"/>
      <c r="FT1543" s="8"/>
      <c r="FU1543" s="8"/>
      <c r="FV1543" s="8"/>
      <c r="FW1543" s="8"/>
      <c r="FX1543" s="8"/>
      <c r="FY1543" s="8"/>
      <c r="FZ1543" s="8"/>
      <c r="GA1543" s="8"/>
      <c r="GB1543" s="8"/>
      <c r="GC1543" s="8"/>
      <c r="GD1543" s="8"/>
      <c r="GE1543" s="8"/>
      <c r="GF1543" s="8"/>
      <c r="GG1543" s="8"/>
      <c r="GH1543" s="8"/>
      <c r="GI1543" s="8"/>
      <c r="GJ1543" s="8"/>
      <c r="GK1543" s="8"/>
      <c r="GL1543" s="8"/>
      <c r="GM1543" s="8"/>
      <c r="GN1543" s="8"/>
      <c r="GO1543" s="8"/>
      <c r="GP1543" s="8"/>
      <c r="GQ1543" s="8"/>
      <c r="GR1543" s="8"/>
      <c r="GS1543" s="8"/>
      <c r="GT1543" s="8"/>
      <c r="GU1543" s="8"/>
      <c r="GV1543" s="8"/>
      <c r="GW1543" s="8"/>
      <c r="GX1543" s="8"/>
      <c r="GY1543" s="8"/>
      <c r="GZ1543" s="8"/>
      <c r="HA1543" s="8"/>
      <c r="HB1543" s="8"/>
      <c r="HC1543" s="8"/>
      <c r="HD1543" s="8"/>
      <c r="HE1543" s="8"/>
      <c r="HF1543" s="8"/>
      <c r="HG1543" s="8"/>
      <c r="HH1543" s="8"/>
      <c r="HI1543" s="8"/>
      <c r="HJ1543" s="8"/>
      <c r="HK1543" s="8"/>
      <c r="HL1543" s="8"/>
      <c r="HM1543" s="8"/>
      <c r="HN1543" s="8"/>
      <c r="HO1543" s="8"/>
      <c r="HP1543" s="8"/>
      <c r="HQ1543" s="8"/>
      <c r="HR1543" s="8"/>
      <c r="HS1543" s="8"/>
      <c r="HT1543" s="8"/>
      <c r="HU1543" s="8"/>
      <c r="HV1543" s="8"/>
      <c r="HW1543" s="8"/>
      <c r="HX1543" s="8"/>
      <c r="HY1543" s="8"/>
      <c r="HZ1543" s="8"/>
      <c r="IA1543" s="8"/>
      <c r="IB1543" s="8"/>
      <c r="IC1543" s="8"/>
      <c r="ID1543" s="8"/>
      <c r="IE1543" s="8"/>
      <c r="IF1543" s="8"/>
    </row>
    <row r="1544" spans="1:240">
      <c r="A1544" s="14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8"/>
      <c r="AP1544" s="8"/>
      <c r="AQ1544" s="8"/>
      <c r="AR1544" s="8"/>
      <c r="AS1544" s="8"/>
      <c r="AT1544" s="8"/>
      <c r="AU1544" s="8"/>
      <c r="AV1544" s="8"/>
      <c r="AW1544" s="8"/>
      <c r="AX1544" s="8"/>
      <c r="AY1544" s="8"/>
      <c r="AZ1544" s="8"/>
      <c r="BA1544" s="8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8"/>
      <c r="BS1544" s="8"/>
      <c r="BT1544" s="8"/>
      <c r="BU1544" s="8"/>
      <c r="BV1544" s="8"/>
      <c r="BW1544" s="8"/>
      <c r="BX1544" s="8"/>
      <c r="BY1544" s="8"/>
      <c r="BZ1544" s="8"/>
      <c r="CA1544" s="8"/>
      <c r="CB1544" s="8"/>
      <c r="CC1544" s="8"/>
      <c r="CD1544" s="8"/>
      <c r="CE1544" s="8"/>
      <c r="CF1544" s="8"/>
      <c r="CG1544" s="8"/>
      <c r="CH1544" s="8"/>
      <c r="CI1544" s="8"/>
      <c r="CJ1544" s="8"/>
      <c r="CK1544" s="8"/>
      <c r="CL1544" s="8"/>
      <c r="CM1544" s="8"/>
      <c r="CN1544" s="8"/>
      <c r="CO1544" s="8"/>
      <c r="CP1544" s="8"/>
      <c r="CQ1544" s="8"/>
      <c r="CR1544" s="8"/>
      <c r="CS1544" s="8"/>
      <c r="CT1544" s="8"/>
      <c r="CU1544" s="8"/>
      <c r="CV1544" s="8"/>
      <c r="CW1544" s="8"/>
      <c r="CX1544" s="8"/>
      <c r="CY1544" s="8"/>
      <c r="CZ1544" s="8"/>
      <c r="DA1544" s="8"/>
      <c r="DB1544" s="8"/>
      <c r="DC1544" s="8"/>
      <c r="DD1544" s="8"/>
      <c r="DE1544" s="8"/>
      <c r="DF1544" s="8"/>
      <c r="DG1544" s="8"/>
      <c r="DH1544" s="8"/>
      <c r="DI1544" s="8"/>
      <c r="DJ1544" s="8"/>
      <c r="DK1544" s="8"/>
      <c r="DL1544" s="8"/>
      <c r="DM1544" s="8"/>
      <c r="DN1544" s="8"/>
      <c r="DO1544" s="8"/>
      <c r="DP1544" s="8"/>
      <c r="DQ1544" s="8"/>
      <c r="DR1544" s="8"/>
      <c r="DS1544" s="8"/>
      <c r="DT1544" s="8"/>
      <c r="DU1544" s="8"/>
      <c r="DV1544" s="8"/>
      <c r="DW1544" s="8"/>
      <c r="DX1544" s="8"/>
      <c r="DY1544" s="8"/>
      <c r="DZ1544" s="8"/>
      <c r="EA1544" s="8"/>
      <c r="EB1544" s="8"/>
      <c r="EC1544" s="8"/>
      <c r="ED1544" s="8"/>
      <c r="EE1544" s="8"/>
      <c r="EF1544" s="8"/>
      <c r="EG1544" s="8"/>
      <c r="EH1544" s="8"/>
      <c r="EI1544" s="8"/>
      <c r="EJ1544" s="8"/>
      <c r="EK1544" s="8"/>
      <c r="EL1544" s="8"/>
      <c r="EM1544" s="8"/>
      <c r="EN1544" s="8"/>
      <c r="EO1544" s="8"/>
      <c r="EP1544" s="8"/>
      <c r="EQ1544" s="8"/>
      <c r="ER1544" s="8"/>
      <c r="ES1544" s="8"/>
      <c r="ET1544" s="8"/>
      <c r="EU1544" s="8"/>
      <c r="EV1544" s="8"/>
      <c r="EW1544" s="8"/>
      <c r="EX1544" s="8"/>
      <c r="EY1544" s="8"/>
      <c r="EZ1544" s="8"/>
      <c r="FA1544" s="8"/>
      <c r="FB1544" s="8"/>
      <c r="FC1544" s="8"/>
      <c r="FD1544" s="8"/>
      <c r="FE1544" s="8"/>
      <c r="FF1544" s="8"/>
      <c r="FG1544" s="8"/>
      <c r="FH1544" s="8"/>
      <c r="FI1544" s="8"/>
      <c r="FJ1544" s="8"/>
      <c r="FK1544" s="8"/>
      <c r="FL1544" s="8"/>
      <c r="FM1544" s="8"/>
      <c r="FN1544" s="8"/>
      <c r="FO1544" s="8"/>
      <c r="FP1544" s="8"/>
      <c r="FQ1544" s="8"/>
      <c r="FR1544" s="8"/>
      <c r="FS1544" s="8"/>
      <c r="FT1544" s="8"/>
      <c r="FU1544" s="8"/>
      <c r="FV1544" s="8"/>
      <c r="FW1544" s="8"/>
      <c r="FX1544" s="8"/>
      <c r="FY1544" s="8"/>
      <c r="FZ1544" s="8"/>
      <c r="GA1544" s="8"/>
      <c r="GB1544" s="8"/>
      <c r="GC1544" s="8"/>
      <c r="GD1544" s="8"/>
      <c r="GE1544" s="8"/>
      <c r="GF1544" s="8"/>
      <c r="GG1544" s="8"/>
      <c r="GH1544" s="8"/>
      <c r="GI1544" s="8"/>
      <c r="GJ1544" s="8"/>
      <c r="GK1544" s="8"/>
      <c r="GL1544" s="8"/>
      <c r="GM1544" s="8"/>
      <c r="GN1544" s="8"/>
      <c r="GO1544" s="8"/>
      <c r="GP1544" s="8"/>
      <c r="GQ1544" s="8"/>
      <c r="GR1544" s="8"/>
      <c r="GS1544" s="8"/>
      <c r="GT1544" s="8"/>
      <c r="GU1544" s="8"/>
      <c r="GV1544" s="8"/>
      <c r="GW1544" s="8"/>
      <c r="GX1544" s="8"/>
      <c r="GY1544" s="8"/>
      <c r="GZ1544" s="8"/>
      <c r="HA1544" s="8"/>
      <c r="HB1544" s="8"/>
      <c r="HC1544" s="8"/>
      <c r="HD1544" s="8"/>
      <c r="HE1544" s="8"/>
      <c r="HF1544" s="8"/>
      <c r="HG1544" s="8"/>
      <c r="HH1544" s="8"/>
      <c r="HI1544" s="8"/>
      <c r="HJ1544" s="8"/>
      <c r="HK1544" s="8"/>
      <c r="HL1544" s="8"/>
      <c r="HM1544" s="8"/>
      <c r="HN1544" s="8"/>
      <c r="HO1544" s="8"/>
      <c r="HP1544" s="8"/>
      <c r="HQ1544" s="8"/>
      <c r="HR1544" s="8"/>
      <c r="HS1544" s="8"/>
      <c r="HT1544" s="8"/>
      <c r="HU1544" s="8"/>
      <c r="HV1544" s="8"/>
      <c r="HW1544" s="8"/>
      <c r="HX1544" s="8"/>
      <c r="HY1544" s="8"/>
      <c r="HZ1544" s="8"/>
      <c r="IA1544" s="8"/>
      <c r="IB1544" s="8"/>
      <c r="IC1544" s="8"/>
      <c r="ID1544" s="8"/>
      <c r="IE1544" s="8"/>
      <c r="IF1544" s="8"/>
    </row>
    <row r="1545" spans="1:240">
      <c r="A1545" s="14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  <c r="AJ1545" s="23"/>
      <c r="AK1545" s="23"/>
      <c r="AL1545" s="23"/>
      <c r="AM1545" s="23"/>
      <c r="AN1545" s="23"/>
      <c r="AO1545" s="8"/>
      <c r="AP1545" s="8"/>
      <c r="AQ1545" s="8"/>
      <c r="AR1545" s="8"/>
      <c r="AS1545" s="8"/>
      <c r="AT1545" s="8"/>
      <c r="AU1545" s="8"/>
      <c r="AV1545" s="8"/>
      <c r="AW1545" s="8"/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8"/>
      <c r="BS1545" s="8"/>
      <c r="BT1545" s="8"/>
      <c r="BU1545" s="8"/>
      <c r="BV1545" s="8"/>
      <c r="BW1545" s="8"/>
      <c r="BX1545" s="8"/>
      <c r="BY1545" s="8"/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/>
      <c r="CK1545" s="8"/>
      <c r="CL1545" s="8"/>
      <c r="CM1545" s="8"/>
      <c r="CN1545" s="8"/>
      <c r="CO1545" s="8"/>
      <c r="CP1545" s="8"/>
      <c r="CQ1545" s="8"/>
      <c r="CR1545" s="8"/>
      <c r="CS1545" s="8"/>
      <c r="CT1545" s="8"/>
      <c r="CU1545" s="8"/>
      <c r="CV1545" s="8"/>
      <c r="CW1545" s="8"/>
      <c r="CX1545" s="8"/>
      <c r="CY1545" s="8"/>
      <c r="CZ1545" s="8"/>
      <c r="DA1545" s="8"/>
      <c r="DB1545" s="8"/>
      <c r="DC1545" s="8"/>
      <c r="DD1545" s="8"/>
      <c r="DE1545" s="8"/>
      <c r="DF1545" s="8"/>
      <c r="DG1545" s="8"/>
      <c r="DH1545" s="8"/>
      <c r="DI1545" s="8"/>
      <c r="DJ1545" s="8"/>
      <c r="DK1545" s="8"/>
      <c r="DL1545" s="8"/>
      <c r="DM1545" s="8"/>
      <c r="DN1545" s="8"/>
      <c r="DO1545" s="8"/>
      <c r="DP1545" s="8"/>
      <c r="DQ1545" s="8"/>
      <c r="DR1545" s="8"/>
      <c r="DS1545" s="8"/>
      <c r="DT1545" s="8"/>
      <c r="DU1545" s="8"/>
      <c r="DV1545" s="8"/>
      <c r="DW1545" s="8"/>
      <c r="DX1545" s="8"/>
      <c r="DY1545" s="8"/>
      <c r="DZ1545" s="8"/>
      <c r="EA1545" s="8"/>
      <c r="EB1545" s="8"/>
      <c r="EC1545" s="8"/>
      <c r="ED1545" s="8"/>
      <c r="EE1545" s="8"/>
      <c r="EF1545" s="8"/>
      <c r="EG1545" s="8"/>
      <c r="EH1545" s="8"/>
      <c r="EI1545" s="8"/>
      <c r="EJ1545" s="8"/>
      <c r="EK1545" s="8"/>
      <c r="EL1545" s="8"/>
      <c r="EM1545" s="8"/>
      <c r="EN1545" s="8"/>
      <c r="EO1545" s="8"/>
      <c r="EP1545" s="8"/>
      <c r="EQ1545" s="8"/>
      <c r="ER1545" s="8"/>
      <c r="ES1545" s="8"/>
      <c r="ET1545" s="8"/>
      <c r="EU1545" s="8"/>
      <c r="EV1545" s="8"/>
      <c r="EW1545" s="8"/>
      <c r="EX1545" s="8"/>
      <c r="EY1545" s="8"/>
      <c r="EZ1545" s="8"/>
      <c r="FA1545" s="8"/>
      <c r="FB1545" s="8"/>
      <c r="FC1545" s="8"/>
      <c r="FD1545" s="8"/>
      <c r="FE1545" s="8"/>
      <c r="FF1545" s="8"/>
      <c r="FG1545" s="8"/>
      <c r="FH1545" s="8"/>
      <c r="FI1545" s="8"/>
      <c r="FJ1545" s="8"/>
      <c r="FK1545" s="8"/>
      <c r="FL1545" s="8"/>
      <c r="FM1545" s="8"/>
      <c r="FN1545" s="8"/>
      <c r="FO1545" s="8"/>
      <c r="FP1545" s="8"/>
      <c r="FQ1545" s="8"/>
      <c r="FR1545" s="8"/>
      <c r="FS1545" s="8"/>
      <c r="FT1545" s="8"/>
      <c r="FU1545" s="8"/>
      <c r="FV1545" s="8"/>
      <c r="FW1545" s="8"/>
      <c r="FX1545" s="8"/>
      <c r="FY1545" s="8"/>
      <c r="FZ1545" s="8"/>
      <c r="GA1545" s="8"/>
      <c r="GB1545" s="8"/>
      <c r="GC1545" s="8"/>
      <c r="GD1545" s="8"/>
      <c r="GE1545" s="8"/>
      <c r="GF1545" s="8"/>
      <c r="GG1545" s="8"/>
      <c r="GH1545" s="8"/>
      <c r="GI1545" s="8"/>
      <c r="GJ1545" s="8"/>
      <c r="GK1545" s="8"/>
      <c r="GL1545" s="8"/>
      <c r="GM1545" s="8"/>
      <c r="GN1545" s="8"/>
      <c r="GO1545" s="8"/>
      <c r="GP1545" s="8"/>
      <c r="GQ1545" s="8"/>
      <c r="GR1545" s="8"/>
      <c r="GS1545" s="8"/>
      <c r="GT1545" s="8"/>
      <c r="GU1545" s="8"/>
      <c r="GV1545" s="8"/>
      <c r="GW1545" s="8"/>
      <c r="GX1545" s="8"/>
      <c r="GY1545" s="8"/>
      <c r="GZ1545" s="8"/>
      <c r="HA1545" s="8"/>
      <c r="HB1545" s="8"/>
      <c r="HC1545" s="8"/>
      <c r="HD1545" s="8"/>
      <c r="HE1545" s="8"/>
      <c r="HF1545" s="8"/>
      <c r="HG1545" s="8"/>
      <c r="HH1545" s="8"/>
      <c r="HI1545" s="8"/>
      <c r="HJ1545" s="8"/>
      <c r="HK1545" s="8"/>
      <c r="HL1545" s="8"/>
      <c r="HM1545" s="8"/>
      <c r="HN1545" s="8"/>
      <c r="HO1545" s="8"/>
      <c r="HP1545" s="8"/>
      <c r="HQ1545" s="8"/>
      <c r="HR1545" s="8"/>
      <c r="HS1545" s="8"/>
      <c r="HT1545" s="8"/>
      <c r="HU1545" s="8"/>
      <c r="HV1545" s="8"/>
      <c r="HW1545" s="8"/>
      <c r="HX1545" s="8"/>
      <c r="HY1545" s="8"/>
      <c r="HZ1545" s="8"/>
      <c r="IA1545" s="8"/>
      <c r="IB1545" s="8"/>
      <c r="IC1545" s="8"/>
      <c r="ID1545" s="8"/>
      <c r="IE1545" s="8"/>
      <c r="IF1545" s="8"/>
    </row>
    <row r="1546" spans="1:240">
      <c r="A1546" s="14"/>
      <c r="B1546" s="23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  <c r="AK1546" s="23"/>
      <c r="AL1546" s="23"/>
      <c r="AM1546" s="23"/>
      <c r="AN1546" s="23"/>
      <c r="AO1546" s="8"/>
      <c r="AP1546" s="8"/>
      <c r="AQ1546" s="8"/>
      <c r="AR1546" s="8"/>
      <c r="AS1546" s="8"/>
      <c r="AT1546" s="8"/>
      <c r="AU1546" s="8"/>
      <c r="AV1546" s="8"/>
      <c r="AW1546" s="8"/>
      <c r="AX1546" s="8"/>
      <c r="AY1546" s="8"/>
      <c r="AZ1546" s="8"/>
      <c r="BA1546" s="8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8"/>
      <c r="BS1546" s="8"/>
      <c r="BT1546" s="8"/>
      <c r="BU1546" s="8"/>
      <c r="BV1546" s="8"/>
      <c r="BW1546" s="8"/>
      <c r="BX1546" s="8"/>
      <c r="BY1546" s="8"/>
      <c r="BZ1546" s="8"/>
      <c r="CA1546" s="8"/>
      <c r="CB1546" s="8"/>
      <c r="CC1546" s="8"/>
      <c r="CD1546" s="8"/>
      <c r="CE1546" s="8"/>
      <c r="CF1546" s="8"/>
      <c r="CG1546" s="8"/>
      <c r="CH1546" s="8"/>
      <c r="CI1546" s="8"/>
      <c r="CJ1546" s="8"/>
      <c r="CK1546" s="8"/>
      <c r="CL1546" s="8"/>
      <c r="CM1546" s="8"/>
      <c r="CN1546" s="8"/>
      <c r="CO1546" s="8"/>
      <c r="CP1546" s="8"/>
      <c r="CQ1546" s="8"/>
      <c r="CR1546" s="8"/>
      <c r="CS1546" s="8"/>
      <c r="CT1546" s="8"/>
      <c r="CU1546" s="8"/>
      <c r="CV1546" s="8"/>
      <c r="CW1546" s="8"/>
      <c r="CX1546" s="8"/>
      <c r="CY1546" s="8"/>
      <c r="CZ1546" s="8"/>
      <c r="DA1546" s="8"/>
      <c r="DB1546" s="8"/>
      <c r="DC1546" s="8"/>
      <c r="DD1546" s="8"/>
      <c r="DE1546" s="8"/>
      <c r="DF1546" s="8"/>
      <c r="DG1546" s="8"/>
      <c r="DH1546" s="8"/>
      <c r="DI1546" s="8"/>
      <c r="DJ1546" s="8"/>
      <c r="DK1546" s="8"/>
      <c r="DL1546" s="8"/>
      <c r="DM1546" s="8"/>
      <c r="DN1546" s="8"/>
      <c r="DO1546" s="8"/>
      <c r="DP1546" s="8"/>
      <c r="DQ1546" s="8"/>
      <c r="DR1546" s="8"/>
      <c r="DS1546" s="8"/>
      <c r="DT1546" s="8"/>
      <c r="DU1546" s="8"/>
      <c r="DV1546" s="8"/>
      <c r="DW1546" s="8"/>
      <c r="DX1546" s="8"/>
      <c r="DY1546" s="8"/>
      <c r="DZ1546" s="8"/>
      <c r="EA1546" s="8"/>
      <c r="EB1546" s="8"/>
      <c r="EC1546" s="8"/>
      <c r="ED1546" s="8"/>
      <c r="EE1546" s="8"/>
      <c r="EF1546" s="8"/>
      <c r="EG1546" s="8"/>
      <c r="EH1546" s="8"/>
      <c r="EI1546" s="8"/>
      <c r="EJ1546" s="8"/>
      <c r="EK1546" s="8"/>
      <c r="EL1546" s="8"/>
      <c r="EM1546" s="8"/>
      <c r="EN1546" s="8"/>
      <c r="EO1546" s="8"/>
      <c r="EP1546" s="8"/>
      <c r="EQ1546" s="8"/>
      <c r="ER1546" s="8"/>
      <c r="ES1546" s="8"/>
      <c r="ET1546" s="8"/>
      <c r="EU1546" s="8"/>
      <c r="EV1546" s="8"/>
      <c r="EW1546" s="8"/>
      <c r="EX1546" s="8"/>
      <c r="EY1546" s="8"/>
      <c r="EZ1546" s="8"/>
      <c r="FA1546" s="8"/>
      <c r="FB1546" s="8"/>
      <c r="FC1546" s="8"/>
      <c r="FD1546" s="8"/>
      <c r="FE1546" s="8"/>
      <c r="FF1546" s="8"/>
      <c r="FG1546" s="8"/>
      <c r="FH1546" s="8"/>
      <c r="FI1546" s="8"/>
      <c r="FJ1546" s="8"/>
      <c r="FK1546" s="8"/>
      <c r="FL1546" s="8"/>
      <c r="FM1546" s="8"/>
      <c r="FN1546" s="8"/>
      <c r="FO1546" s="8"/>
      <c r="FP1546" s="8"/>
      <c r="FQ1546" s="8"/>
      <c r="FR1546" s="8"/>
      <c r="FS1546" s="8"/>
      <c r="FT1546" s="8"/>
      <c r="FU1546" s="8"/>
      <c r="FV1546" s="8"/>
      <c r="FW1546" s="8"/>
      <c r="FX1546" s="8"/>
      <c r="FY1546" s="8"/>
      <c r="FZ1546" s="8"/>
      <c r="GA1546" s="8"/>
      <c r="GB1546" s="8"/>
      <c r="GC1546" s="8"/>
      <c r="GD1546" s="8"/>
      <c r="GE1546" s="8"/>
      <c r="GF1546" s="8"/>
      <c r="GG1546" s="8"/>
      <c r="GH1546" s="8"/>
      <c r="GI1546" s="8"/>
      <c r="GJ1546" s="8"/>
      <c r="GK1546" s="8"/>
      <c r="GL1546" s="8"/>
      <c r="GM1546" s="8"/>
      <c r="GN1546" s="8"/>
      <c r="GO1546" s="8"/>
      <c r="GP1546" s="8"/>
      <c r="GQ1546" s="8"/>
      <c r="GR1546" s="8"/>
      <c r="GS1546" s="8"/>
      <c r="GT1546" s="8"/>
      <c r="GU1546" s="8"/>
      <c r="GV1546" s="8"/>
      <c r="GW1546" s="8"/>
      <c r="GX1546" s="8"/>
      <c r="GY1546" s="8"/>
      <c r="GZ1546" s="8"/>
      <c r="HA1546" s="8"/>
      <c r="HB1546" s="8"/>
      <c r="HC1546" s="8"/>
      <c r="HD1546" s="8"/>
      <c r="HE1546" s="8"/>
      <c r="HF1546" s="8"/>
      <c r="HG1546" s="8"/>
      <c r="HH1546" s="8"/>
      <c r="HI1546" s="8"/>
      <c r="HJ1546" s="8"/>
      <c r="HK1546" s="8"/>
      <c r="HL1546" s="8"/>
      <c r="HM1546" s="8"/>
      <c r="HN1546" s="8"/>
      <c r="HO1546" s="8"/>
      <c r="HP1546" s="8"/>
      <c r="HQ1546" s="8"/>
      <c r="HR1546" s="8"/>
      <c r="HS1546" s="8"/>
      <c r="HT1546" s="8"/>
      <c r="HU1546" s="8"/>
      <c r="HV1546" s="8"/>
      <c r="HW1546" s="8"/>
      <c r="HX1546" s="8"/>
      <c r="HY1546" s="8"/>
      <c r="HZ1546" s="8"/>
      <c r="IA1546" s="8"/>
      <c r="IB1546" s="8"/>
      <c r="IC1546" s="8"/>
      <c r="ID1546" s="8"/>
      <c r="IE1546" s="8"/>
      <c r="IF1546" s="8"/>
    </row>
    <row r="1547" spans="1:240">
      <c r="A1547" s="14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  <c r="AK1547" s="23"/>
      <c r="AL1547" s="23"/>
      <c r="AM1547" s="23"/>
      <c r="AN1547" s="23"/>
      <c r="AO1547" s="8"/>
      <c r="AP1547" s="8"/>
      <c r="AQ1547" s="8"/>
      <c r="AR1547" s="8"/>
      <c r="AS1547" s="8"/>
      <c r="AT1547" s="8"/>
      <c r="AU1547" s="8"/>
      <c r="AV1547" s="8"/>
      <c r="AW1547" s="8"/>
      <c r="AX1547" s="8"/>
      <c r="AY1547" s="8"/>
      <c r="AZ1547" s="8"/>
      <c r="BA1547" s="8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8"/>
      <c r="BS1547" s="8"/>
      <c r="BT1547" s="8"/>
      <c r="BU1547" s="8"/>
      <c r="BV1547" s="8"/>
      <c r="BW1547" s="8"/>
      <c r="BX1547" s="8"/>
      <c r="BY1547" s="8"/>
      <c r="BZ1547" s="8"/>
      <c r="CA1547" s="8"/>
      <c r="CB1547" s="8"/>
      <c r="CC1547" s="8"/>
      <c r="CD1547" s="8"/>
      <c r="CE1547" s="8"/>
      <c r="CF1547" s="8"/>
      <c r="CG1547" s="8"/>
      <c r="CH1547" s="8"/>
      <c r="CI1547" s="8"/>
      <c r="CJ1547" s="8"/>
      <c r="CK1547" s="8"/>
      <c r="CL1547" s="8"/>
      <c r="CM1547" s="8"/>
      <c r="CN1547" s="8"/>
      <c r="CO1547" s="8"/>
      <c r="CP1547" s="8"/>
      <c r="CQ1547" s="8"/>
      <c r="CR1547" s="8"/>
      <c r="CS1547" s="8"/>
      <c r="CT1547" s="8"/>
      <c r="CU1547" s="8"/>
      <c r="CV1547" s="8"/>
      <c r="CW1547" s="8"/>
      <c r="CX1547" s="8"/>
      <c r="CY1547" s="8"/>
      <c r="CZ1547" s="8"/>
      <c r="DA1547" s="8"/>
      <c r="DB1547" s="8"/>
      <c r="DC1547" s="8"/>
      <c r="DD1547" s="8"/>
      <c r="DE1547" s="8"/>
      <c r="DF1547" s="8"/>
      <c r="DG1547" s="8"/>
      <c r="DH1547" s="8"/>
      <c r="DI1547" s="8"/>
      <c r="DJ1547" s="8"/>
      <c r="DK1547" s="8"/>
      <c r="DL1547" s="8"/>
      <c r="DM1547" s="8"/>
      <c r="DN1547" s="8"/>
      <c r="DO1547" s="8"/>
      <c r="DP1547" s="8"/>
      <c r="DQ1547" s="8"/>
      <c r="DR1547" s="8"/>
      <c r="DS1547" s="8"/>
      <c r="DT1547" s="8"/>
      <c r="DU1547" s="8"/>
      <c r="DV1547" s="8"/>
      <c r="DW1547" s="8"/>
      <c r="DX1547" s="8"/>
      <c r="DY1547" s="8"/>
      <c r="DZ1547" s="8"/>
      <c r="EA1547" s="8"/>
      <c r="EB1547" s="8"/>
      <c r="EC1547" s="8"/>
      <c r="ED1547" s="8"/>
      <c r="EE1547" s="8"/>
      <c r="EF1547" s="8"/>
      <c r="EG1547" s="8"/>
      <c r="EH1547" s="8"/>
      <c r="EI1547" s="8"/>
      <c r="EJ1547" s="8"/>
      <c r="EK1547" s="8"/>
      <c r="EL1547" s="8"/>
      <c r="EM1547" s="8"/>
      <c r="EN1547" s="8"/>
      <c r="EO1547" s="8"/>
      <c r="EP1547" s="8"/>
      <c r="EQ1547" s="8"/>
      <c r="ER1547" s="8"/>
      <c r="ES1547" s="8"/>
      <c r="ET1547" s="8"/>
      <c r="EU1547" s="8"/>
      <c r="EV1547" s="8"/>
      <c r="EW1547" s="8"/>
      <c r="EX1547" s="8"/>
      <c r="EY1547" s="8"/>
      <c r="EZ1547" s="8"/>
      <c r="FA1547" s="8"/>
      <c r="FB1547" s="8"/>
      <c r="FC1547" s="8"/>
      <c r="FD1547" s="8"/>
      <c r="FE1547" s="8"/>
      <c r="FF1547" s="8"/>
      <c r="FG1547" s="8"/>
      <c r="FH1547" s="8"/>
      <c r="FI1547" s="8"/>
      <c r="FJ1547" s="8"/>
      <c r="FK1547" s="8"/>
      <c r="FL1547" s="8"/>
      <c r="FM1547" s="8"/>
      <c r="FN1547" s="8"/>
      <c r="FO1547" s="8"/>
      <c r="FP1547" s="8"/>
      <c r="FQ1547" s="8"/>
      <c r="FR1547" s="8"/>
      <c r="FS1547" s="8"/>
      <c r="FT1547" s="8"/>
      <c r="FU1547" s="8"/>
      <c r="FV1547" s="8"/>
      <c r="FW1547" s="8"/>
      <c r="FX1547" s="8"/>
      <c r="FY1547" s="8"/>
      <c r="FZ1547" s="8"/>
      <c r="GA1547" s="8"/>
      <c r="GB1547" s="8"/>
      <c r="GC1547" s="8"/>
      <c r="GD1547" s="8"/>
      <c r="GE1547" s="8"/>
      <c r="GF1547" s="8"/>
      <c r="GG1547" s="8"/>
      <c r="GH1547" s="8"/>
      <c r="GI1547" s="8"/>
      <c r="GJ1547" s="8"/>
      <c r="GK1547" s="8"/>
      <c r="GL1547" s="8"/>
      <c r="GM1547" s="8"/>
      <c r="GN1547" s="8"/>
      <c r="GO1547" s="8"/>
      <c r="GP1547" s="8"/>
      <c r="GQ1547" s="8"/>
      <c r="GR1547" s="8"/>
      <c r="GS1547" s="8"/>
      <c r="GT1547" s="8"/>
      <c r="GU1547" s="8"/>
      <c r="GV1547" s="8"/>
      <c r="GW1547" s="8"/>
      <c r="GX1547" s="8"/>
      <c r="GY1547" s="8"/>
      <c r="GZ1547" s="8"/>
      <c r="HA1547" s="8"/>
      <c r="HB1547" s="8"/>
      <c r="HC1547" s="8"/>
      <c r="HD1547" s="8"/>
      <c r="HE1547" s="8"/>
      <c r="HF1547" s="8"/>
      <c r="HG1547" s="8"/>
      <c r="HH1547" s="8"/>
      <c r="HI1547" s="8"/>
      <c r="HJ1547" s="8"/>
      <c r="HK1547" s="8"/>
      <c r="HL1547" s="8"/>
      <c r="HM1547" s="8"/>
      <c r="HN1547" s="8"/>
      <c r="HO1547" s="8"/>
      <c r="HP1547" s="8"/>
      <c r="HQ1547" s="8"/>
      <c r="HR1547" s="8"/>
      <c r="HS1547" s="8"/>
      <c r="HT1547" s="8"/>
      <c r="HU1547" s="8"/>
      <c r="HV1547" s="8"/>
      <c r="HW1547" s="8"/>
      <c r="HX1547" s="8"/>
      <c r="HY1547" s="8"/>
      <c r="HZ1547" s="8"/>
      <c r="IA1547" s="8"/>
      <c r="IB1547" s="8"/>
      <c r="IC1547" s="8"/>
      <c r="ID1547" s="8"/>
      <c r="IE1547" s="8"/>
      <c r="IF1547" s="8"/>
    </row>
    <row r="1548" spans="1:240">
      <c r="A1548" s="14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8"/>
      <c r="AP1548" s="8"/>
      <c r="AQ1548" s="8"/>
      <c r="AR1548" s="8"/>
      <c r="AS1548" s="8"/>
      <c r="AT1548" s="8"/>
      <c r="AU1548" s="8"/>
      <c r="AV1548" s="8"/>
      <c r="AW1548" s="8"/>
      <c r="AX1548" s="8"/>
      <c r="AY1548" s="8"/>
      <c r="AZ1548" s="8"/>
      <c r="BA1548" s="8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/>
      <c r="BQ1548" s="8"/>
      <c r="BR1548" s="8"/>
      <c r="BS1548" s="8"/>
      <c r="BT1548" s="8"/>
      <c r="BU1548" s="8"/>
      <c r="BV1548" s="8"/>
      <c r="BW1548" s="8"/>
      <c r="BX1548" s="8"/>
      <c r="BY1548" s="8"/>
      <c r="BZ1548" s="8"/>
      <c r="CA1548" s="8"/>
      <c r="CB1548" s="8"/>
      <c r="CC1548" s="8"/>
      <c r="CD1548" s="8"/>
      <c r="CE1548" s="8"/>
      <c r="CF1548" s="8"/>
      <c r="CG1548" s="8"/>
      <c r="CH1548" s="8"/>
      <c r="CI1548" s="8"/>
      <c r="CJ1548" s="8"/>
      <c r="CK1548" s="8"/>
      <c r="CL1548" s="8"/>
      <c r="CM1548" s="8"/>
      <c r="CN1548" s="8"/>
      <c r="CO1548" s="8"/>
      <c r="CP1548" s="8"/>
      <c r="CQ1548" s="8"/>
      <c r="CR1548" s="8"/>
      <c r="CS1548" s="8"/>
      <c r="CT1548" s="8"/>
      <c r="CU1548" s="8"/>
      <c r="CV1548" s="8"/>
      <c r="CW1548" s="8"/>
      <c r="CX1548" s="8"/>
      <c r="CY1548" s="8"/>
      <c r="CZ1548" s="8"/>
      <c r="DA1548" s="8"/>
      <c r="DB1548" s="8"/>
      <c r="DC1548" s="8"/>
      <c r="DD1548" s="8"/>
      <c r="DE1548" s="8"/>
      <c r="DF1548" s="8"/>
      <c r="DG1548" s="8"/>
      <c r="DH1548" s="8"/>
      <c r="DI1548" s="8"/>
      <c r="DJ1548" s="8"/>
      <c r="DK1548" s="8"/>
      <c r="DL1548" s="8"/>
      <c r="DM1548" s="8"/>
      <c r="DN1548" s="8"/>
      <c r="DO1548" s="8"/>
      <c r="DP1548" s="8"/>
      <c r="DQ1548" s="8"/>
      <c r="DR1548" s="8"/>
      <c r="DS1548" s="8"/>
      <c r="DT1548" s="8"/>
      <c r="DU1548" s="8"/>
      <c r="DV1548" s="8"/>
      <c r="DW1548" s="8"/>
      <c r="DX1548" s="8"/>
      <c r="DY1548" s="8"/>
      <c r="DZ1548" s="8"/>
      <c r="EA1548" s="8"/>
      <c r="EB1548" s="8"/>
      <c r="EC1548" s="8"/>
      <c r="ED1548" s="8"/>
      <c r="EE1548" s="8"/>
      <c r="EF1548" s="8"/>
      <c r="EG1548" s="8"/>
      <c r="EH1548" s="8"/>
      <c r="EI1548" s="8"/>
      <c r="EJ1548" s="8"/>
      <c r="EK1548" s="8"/>
      <c r="EL1548" s="8"/>
      <c r="EM1548" s="8"/>
      <c r="EN1548" s="8"/>
      <c r="EO1548" s="8"/>
      <c r="EP1548" s="8"/>
      <c r="EQ1548" s="8"/>
      <c r="ER1548" s="8"/>
      <c r="ES1548" s="8"/>
      <c r="ET1548" s="8"/>
      <c r="EU1548" s="8"/>
      <c r="EV1548" s="8"/>
      <c r="EW1548" s="8"/>
      <c r="EX1548" s="8"/>
      <c r="EY1548" s="8"/>
      <c r="EZ1548" s="8"/>
      <c r="FA1548" s="8"/>
      <c r="FB1548" s="8"/>
      <c r="FC1548" s="8"/>
      <c r="FD1548" s="8"/>
      <c r="FE1548" s="8"/>
      <c r="FF1548" s="8"/>
      <c r="FG1548" s="8"/>
      <c r="FH1548" s="8"/>
      <c r="FI1548" s="8"/>
      <c r="FJ1548" s="8"/>
      <c r="FK1548" s="8"/>
      <c r="FL1548" s="8"/>
      <c r="FM1548" s="8"/>
      <c r="FN1548" s="8"/>
      <c r="FO1548" s="8"/>
      <c r="FP1548" s="8"/>
      <c r="FQ1548" s="8"/>
      <c r="FR1548" s="8"/>
      <c r="FS1548" s="8"/>
      <c r="FT1548" s="8"/>
      <c r="FU1548" s="8"/>
      <c r="FV1548" s="8"/>
      <c r="FW1548" s="8"/>
      <c r="FX1548" s="8"/>
      <c r="FY1548" s="8"/>
      <c r="FZ1548" s="8"/>
      <c r="GA1548" s="8"/>
      <c r="GB1548" s="8"/>
      <c r="GC1548" s="8"/>
      <c r="GD1548" s="8"/>
      <c r="GE1548" s="8"/>
      <c r="GF1548" s="8"/>
      <c r="GG1548" s="8"/>
      <c r="GH1548" s="8"/>
      <c r="GI1548" s="8"/>
      <c r="GJ1548" s="8"/>
      <c r="GK1548" s="8"/>
      <c r="GL1548" s="8"/>
      <c r="GM1548" s="8"/>
      <c r="GN1548" s="8"/>
      <c r="GO1548" s="8"/>
      <c r="GP1548" s="8"/>
      <c r="GQ1548" s="8"/>
      <c r="GR1548" s="8"/>
      <c r="GS1548" s="8"/>
      <c r="GT1548" s="8"/>
      <c r="GU1548" s="8"/>
      <c r="GV1548" s="8"/>
      <c r="GW1548" s="8"/>
      <c r="GX1548" s="8"/>
      <c r="GY1548" s="8"/>
      <c r="GZ1548" s="8"/>
      <c r="HA1548" s="8"/>
      <c r="HB1548" s="8"/>
      <c r="HC1548" s="8"/>
      <c r="HD1548" s="8"/>
      <c r="HE1548" s="8"/>
      <c r="HF1548" s="8"/>
      <c r="HG1548" s="8"/>
      <c r="HH1548" s="8"/>
      <c r="HI1548" s="8"/>
      <c r="HJ1548" s="8"/>
      <c r="HK1548" s="8"/>
      <c r="HL1548" s="8"/>
      <c r="HM1548" s="8"/>
      <c r="HN1548" s="8"/>
      <c r="HO1548" s="8"/>
      <c r="HP1548" s="8"/>
      <c r="HQ1548" s="8"/>
      <c r="HR1548" s="8"/>
      <c r="HS1548" s="8"/>
      <c r="HT1548" s="8"/>
      <c r="HU1548" s="8"/>
      <c r="HV1548" s="8"/>
      <c r="HW1548" s="8"/>
      <c r="HX1548" s="8"/>
      <c r="HY1548" s="8"/>
      <c r="HZ1548" s="8"/>
      <c r="IA1548" s="8"/>
      <c r="IB1548" s="8"/>
      <c r="IC1548" s="8"/>
      <c r="ID1548" s="8"/>
      <c r="IE1548" s="8"/>
      <c r="IF1548" s="8"/>
    </row>
    <row r="1549" spans="1:240">
      <c r="A1549" s="14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  <c r="AJ1549" s="23"/>
      <c r="AK1549" s="23"/>
      <c r="AL1549" s="23"/>
      <c r="AM1549" s="23"/>
      <c r="AN1549" s="23"/>
      <c r="AO1549" s="8"/>
      <c r="AP1549" s="8"/>
      <c r="AQ1549" s="8"/>
      <c r="AR1549" s="8"/>
      <c r="AS1549" s="8"/>
      <c r="AT1549" s="8"/>
      <c r="AU1549" s="8"/>
      <c r="AV1549" s="8"/>
      <c r="AW1549" s="8"/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/>
      <c r="BM1549" s="8"/>
      <c r="BN1549" s="8"/>
      <c r="BO1549" s="8"/>
      <c r="BP1549" s="8"/>
      <c r="BQ1549" s="8"/>
      <c r="BR1549" s="8"/>
      <c r="BS1549" s="8"/>
      <c r="BT1549" s="8"/>
      <c r="BU1549" s="8"/>
      <c r="BV1549" s="8"/>
      <c r="BW1549" s="8"/>
      <c r="BX1549" s="8"/>
      <c r="BY1549" s="8"/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/>
      <c r="CK1549" s="8"/>
      <c r="CL1549" s="8"/>
      <c r="CM1549" s="8"/>
      <c r="CN1549" s="8"/>
      <c r="CO1549" s="8"/>
      <c r="CP1549" s="8"/>
      <c r="CQ1549" s="8"/>
      <c r="CR1549" s="8"/>
      <c r="CS1549" s="8"/>
      <c r="CT1549" s="8"/>
      <c r="CU1549" s="8"/>
      <c r="CV1549" s="8"/>
      <c r="CW1549" s="8"/>
      <c r="CX1549" s="8"/>
      <c r="CY1549" s="8"/>
      <c r="CZ1549" s="8"/>
      <c r="DA1549" s="8"/>
      <c r="DB1549" s="8"/>
      <c r="DC1549" s="8"/>
      <c r="DD1549" s="8"/>
      <c r="DE1549" s="8"/>
      <c r="DF1549" s="8"/>
      <c r="DG1549" s="8"/>
      <c r="DH1549" s="8"/>
      <c r="DI1549" s="8"/>
      <c r="DJ1549" s="8"/>
      <c r="DK1549" s="8"/>
      <c r="DL1549" s="8"/>
      <c r="DM1549" s="8"/>
      <c r="DN1549" s="8"/>
      <c r="DO1549" s="8"/>
      <c r="DP1549" s="8"/>
      <c r="DQ1549" s="8"/>
      <c r="DR1549" s="8"/>
      <c r="DS1549" s="8"/>
      <c r="DT1549" s="8"/>
      <c r="DU1549" s="8"/>
      <c r="DV1549" s="8"/>
      <c r="DW1549" s="8"/>
      <c r="DX1549" s="8"/>
      <c r="DY1549" s="8"/>
      <c r="DZ1549" s="8"/>
      <c r="EA1549" s="8"/>
      <c r="EB1549" s="8"/>
      <c r="EC1549" s="8"/>
      <c r="ED1549" s="8"/>
      <c r="EE1549" s="8"/>
      <c r="EF1549" s="8"/>
      <c r="EG1549" s="8"/>
      <c r="EH1549" s="8"/>
      <c r="EI1549" s="8"/>
      <c r="EJ1549" s="8"/>
      <c r="EK1549" s="8"/>
      <c r="EL1549" s="8"/>
      <c r="EM1549" s="8"/>
      <c r="EN1549" s="8"/>
      <c r="EO1549" s="8"/>
      <c r="EP1549" s="8"/>
      <c r="EQ1549" s="8"/>
      <c r="ER1549" s="8"/>
      <c r="ES1549" s="8"/>
      <c r="ET1549" s="8"/>
      <c r="EU1549" s="8"/>
      <c r="EV1549" s="8"/>
      <c r="EW1549" s="8"/>
      <c r="EX1549" s="8"/>
      <c r="EY1549" s="8"/>
      <c r="EZ1549" s="8"/>
      <c r="FA1549" s="8"/>
      <c r="FB1549" s="8"/>
      <c r="FC1549" s="8"/>
      <c r="FD1549" s="8"/>
      <c r="FE1549" s="8"/>
      <c r="FF1549" s="8"/>
      <c r="FG1549" s="8"/>
      <c r="FH1549" s="8"/>
      <c r="FI1549" s="8"/>
      <c r="FJ1549" s="8"/>
      <c r="FK1549" s="8"/>
      <c r="FL1549" s="8"/>
      <c r="FM1549" s="8"/>
      <c r="FN1549" s="8"/>
      <c r="FO1549" s="8"/>
      <c r="FP1549" s="8"/>
      <c r="FQ1549" s="8"/>
      <c r="FR1549" s="8"/>
      <c r="FS1549" s="8"/>
      <c r="FT1549" s="8"/>
      <c r="FU1549" s="8"/>
      <c r="FV1549" s="8"/>
      <c r="FW1549" s="8"/>
      <c r="FX1549" s="8"/>
      <c r="FY1549" s="8"/>
      <c r="FZ1549" s="8"/>
      <c r="GA1549" s="8"/>
      <c r="GB1549" s="8"/>
      <c r="GC1549" s="8"/>
      <c r="GD1549" s="8"/>
      <c r="GE1549" s="8"/>
      <c r="GF1549" s="8"/>
      <c r="GG1549" s="8"/>
      <c r="GH1549" s="8"/>
      <c r="GI1549" s="8"/>
      <c r="GJ1549" s="8"/>
      <c r="GK1549" s="8"/>
      <c r="GL1549" s="8"/>
      <c r="GM1549" s="8"/>
      <c r="GN1549" s="8"/>
      <c r="GO1549" s="8"/>
      <c r="GP1549" s="8"/>
      <c r="GQ1549" s="8"/>
      <c r="GR1549" s="8"/>
      <c r="GS1549" s="8"/>
      <c r="GT1549" s="8"/>
      <c r="GU1549" s="8"/>
      <c r="GV1549" s="8"/>
      <c r="GW1549" s="8"/>
      <c r="GX1549" s="8"/>
      <c r="GY1549" s="8"/>
      <c r="GZ1549" s="8"/>
      <c r="HA1549" s="8"/>
      <c r="HB1549" s="8"/>
      <c r="HC1549" s="8"/>
      <c r="HD1549" s="8"/>
      <c r="HE1549" s="8"/>
      <c r="HF1549" s="8"/>
      <c r="HG1549" s="8"/>
      <c r="HH1549" s="8"/>
      <c r="HI1549" s="8"/>
      <c r="HJ1549" s="8"/>
      <c r="HK1549" s="8"/>
      <c r="HL1549" s="8"/>
      <c r="HM1549" s="8"/>
      <c r="HN1549" s="8"/>
      <c r="HO1549" s="8"/>
      <c r="HP1549" s="8"/>
      <c r="HQ1549" s="8"/>
      <c r="HR1549" s="8"/>
      <c r="HS1549" s="8"/>
      <c r="HT1549" s="8"/>
      <c r="HU1549" s="8"/>
      <c r="HV1549" s="8"/>
      <c r="HW1549" s="8"/>
      <c r="HX1549" s="8"/>
      <c r="HY1549" s="8"/>
      <c r="HZ1549" s="8"/>
      <c r="IA1549" s="8"/>
      <c r="IB1549" s="8"/>
      <c r="IC1549" s="8"/>
      <c r="ID1549" s="8"/>
      <c r="IE1549" s="8"/>
      <c r="IF1549" s="8"/>
    </row>
    <row r="1550" spans="1:240">
      <c r="A1550" s="14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  <c r="AJ1550" s="23"/>
      <c r="AK1550" s="23"/>
      <c r="AL1550" s="23"/>
      <c r="AM1550" s="23"/>
      <c r="AN1550" s="23"/>
      <c r="AO1550" s="8"/>
      <c r="AP1550" s="8"/>
      <c r="AQ1550" s="8"/>
      <c r="AR1550" s="8"/>
      <c r="AS1550" s="8"/>
      <c r="AT1550" s="8"/>
      <c r="AU1550" s="8"/>
      <c r="AV1550" s="8"/>
      <c r="AW1550" s="8"/>
      <c r="AX1550" s="8"/>
      <c r="AY1550" s="8"/>
      <c r="AZ1550" s="8"/>
      <c r="BA1550" s="8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/>
      <c r="BM1550" s="8"/>
      <c r="BN1550" s="8"/>
      <c r="BO1550" s="8"/>
      <c r="BP1550" s="8"/>
      <c r="BQ1550" s="8"/>
      <c r="BR1550" s="8"/>
      <c r="BS1550" s="8"/>
      <c r="BT1550" s="8"/>
      <c r="BU1550" s="8"/>
      <c r="BV1550" s="8"/>
      <c r="BW1550" s="8"/>
      <c r="BX1550" s="8"/>
      <c r="BY1550" s="8"/>
      <c r="BZ1550" s="8"/>
      <c r="CA1550" s="8"/>
      <c r="CB1550" s="8"/>
      <c r="CC1550" s="8"/>
      <c r="CD1550" s="8"/>
      <c r="CE1550" s="8"/>
      <c r="CF1550" s="8"/>
      <c r="CG1550" s="8"/>
      <c r="CH1550" s="8"/>
      <c r="CI1550" s="8"/>
      <c r="CJ1550" s="8"/>
      <c r="CK1550" s="8"/>
      <c r="CL1550" s="8"/>
      <c r="CM1550" s="8"/>
      <c r="CN1550" s="8"/>
      <c r="CO1550" s="8"/>
      <c r="CP1550" s="8"/>
      <c r="CQ1550" s="8"/>
      <c r="CR1550" s="8"/>
      <c r="CS1550" s="8"/>
      <c r="CT1550" s="8"/>
      <c r="CU1550" s="8"/>
      <c r="CV1550" s="8"/>
      <c r="CW1550" s="8"/>
      <c r="CX1550" s="8"/>
      <c r="CY1550" s="8"/>
      <c r="CZ1550" s="8"/>
      <c r="DA1550" s="8"/>
      <c r="DB1550" s="8"/>
      <c r="DC1550" s="8"/>
      <c r="DD1550" s="8"/>
      <c r="DE1550" s="8"/>
      <c r="DF1550" s="8"/>
      <c r="DG1550" s="8"/>
      <c r="DH1550" s="8"/>
      <c r="DI1550" s="8"/>
      <c r="DJ1550" s="8"/>
      <c r="DK1550" s="8"/>
      <c r="DL1550" s="8"/>
      <c r="DM1550" s="8"/>
      <c r="DN1550" s="8"/>
      <c r="DO1550" s="8"/>
      <c r="DP1550" s="8"/>
      <c r="DQ1550" s="8"/>
      <c r="DR1550" s="8"/>
      <c r="DS1550" s="8"/>
      <c r="DT1550" s="8"/>
      <c r="DU1550" s="8"/>
      <c r="DV1550" s="8"/>
      <c r="DW1550" s="8"/>
      <c r="DX1550" s="8"/>
      <c r="DY1550" s="8"/>
      <c r="DZ1550" s="8"/>
      <c r="EA1550" s="8"/>
      <c r="EB1550" s="8"/>
      <c r="EC1550" s="8"/>
      <c r="ED1550" s="8"/>
      <c r="EE1550" s="8"/>
      <c r="EF1550" s="8"/>
      <c r="EG1550" s="8"/>
      <c r="EH1550" s="8"/>
      <c r="EI1550" s="8"/>
      <c r="EJ1550" s="8"/>
      <c r="EK1550" s="8"/>
      <c r="EL1550" s="8"/>
      <c r="EM1550" s="8"/>
      <c r="EN1550" s="8"/>
      <c r="EO1550" s="8"/>
      <c r="EP1550" s="8"/>
      <c r="EQ1550" s="8"/>
      <c r="ER1550" s="8"/>
      <c r="ES1550" s="8"/>
      <c r="ET1550" s="8"/>
      <c r="EU1550" s="8"/>
      <c r="EV1550" s="8"/>
      <c r="EW1550" s="8"/>
      <c r="EX1550" s="8"/>
      <c r="EY1550" s="8"/>
      <c r="EZ1550" s="8"/>
      <c r="FA1550" s="8"/>
      <c r="FB1550" s="8"/>
      <c r="FC1550" s="8"/>
      <c r="FD1550" s="8"/>
      <c r="FE1550" s="8"/>
      <c r="FF1550" s="8"/>
      <c r="FG1550" s="8"/>
      <c r="FH1550" s="8"/>
      <c r="FI1550" s="8"/>
      <c r="FJ1550" s="8"/>
      <c r="FK1550" s="8"/>
      <c r="FL1550" s="8"/>
      <c r="FM1550" s="8"/>
      <c r="FN1550" s="8"/>
      <c r="FO1550" s="8"/>
      <c r="FP1550" s="8"/>
      <c r="FQ1550" s="8"/>
      <c r="FR1550" s="8"/>
      <c r="FS1550" s="8"/>
      <c r="FT1550" s="8"/>
      <c r="FU1550" s="8"/>
      <c r="FV1550" s="8"/>
      <c r="FW1550" s="8"/>
      <c r="FX1550" s="8"/>
      <c r="FY1550" s="8"/>
      <c r="FZ1550" s="8"/>
      <c r="GA1550" s="8"/>
      <c r="GB1550" s="8"/>
      <c r="GC1550" s="8"/>
      <c r="GD1550" s="8"/>
      <c r="GE1550" s="8"/>
      <c r="GF1550" s="8"/>
      <c r="GG1550" s="8"/>
      <c r="GH1550" s="8"/>
      <c r="GI1550" s="8"/>
      <c r="GJ1550" s="8"/>
      <c r="GK1550" s="8"/>
      <c r="GL1550" s="8"/>
      <c r="GM1550" s="8"/>
      <c r="GN1550" s="8"/>
      <c r="GO1550" s="8"/>
      <c r="GP1550" s="8"/>
      <c r="GQ1550" s="8"/>
      <c r="GR1550" s="8"/>
      <c r="GS1550" s="8"/>
      <c r="GT1550" s="8"/>
      <c r="GU1550" s="8"/>
      <c r="GV1550" s="8"/>
      <c r="GW1550" s="8"/>
      <c r="GX1550" s="8"/>
      <c r="GY1550" s="8"/>
      <c r="GZ1550" s="8"/>
      <c r="HA1550" s="8"/>
      <c r="HB1550" s="8"/>
      <c r="HC1550" s="8"/>
      <c r="HD1550" s="8"/>
      <c r="HE1550" s="8"/>
      <c r="HF1550" s="8"/>
      <c r="HG1550" s="8"/>
      <c r="HH1550" s="8"/>
      <c r="HI1550" s="8"/>
      <c r="HJ1550" s="8"/>
      <c r="HK1550" s="8"/>
      <c r="HL1550" s="8"/>
      <c r="HM1550" s="8"/>
      <c r="HN1550" s="8"/>
      <c r="HO1550" s="8"/>
      <c r="HP1550" s="8"/>
      <c r="HQ1550" s="8"/>
      <c r="HR1550" s="8"/>
      <c r="HS1550" s="8"/>
      <c r="HT1550" s="8"/>
      <c r="HU1550" s="8"/>
      <c r="HV1550" s="8"/>
      <c r="HW1550" s="8"/>
      <c r="HX1550" s="8"/>
      <c r="HY1550" s="8"/>
      <c r="HZ1550" s="8"/>
      <c r="IA1550" s="8"/>
      <c r="IB1550" s="8"/>
      <c r="IC1550" s="8"/>
      <c r="ID1550" s="8"/>
      <c r="IE1550" s="8"/>
      <c r="IF1550" s="8"/>
    </row>
    <row r="1551" spans="1:240">
      <c r="A1551" s="14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8"/>
      <c r="AP1551" s="8"/>
      <c r="AQ1551" s="8"/>
      <c r="AR1551" s="8"/>
      <c r="AS1551" s="8"/>
      <c r="AT1551" s="8"/>
      <c r="AU1551" s="8"/>
      <c r="AV1551" s="8"/>
      <c r="AW1551" s="8"/>
      <c r="AX1551" s="8"/>
      <c r="AY1551" s="8"/>
      <c r="AZ1551" s="8"/>
      <c r="BA1551" s="8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8"/>
      <c r="BS1551" s="8"/>
      <c r="BT1551" s="8"/>
      <c r="BU1551" s="8"/>
      <c r="BV1551" s="8"/>
      <c r="BW1551" s="8"/>
      <c r="BX1551" s="8"/>
      <c r="BY1551" s="8"/>
      <c r="BZ1551" s="8"/>
      <c r="CA1551" s="8"/>
      <c r="CB1551" s="8"/>
      <c r="CC1551" s="8"/>
      <c r="CD1551" s="8"/>
      <c r="CE1551" s="8"/>
      <c r="CF1551" s="8"/>
      <c r="CG1551" s="8"/>
      <c r="CH1551" s="8"/>
      <c r="CI1551" s="8"/>
      <c r="CJ1551" s="8"/>
      <c r="CK1551" s="8"/>
      <c r="CL1551" s="8"/>
      <c r="CM1551" s="8"/>
      <c r="CN1551" s="8"/>
      <c r="CO1551" s="8"/>
      <c r="CP1551" s="8"/>
      <c r="CQ1551" s="8"/>
      <c r="CR1551" s="8"/>
      <c r="CS1551" s="8"/>
      <c r="CT1551" s="8"/>
      <c r="CU1551" s="8"/>
      <c r="CV1551" s="8"/>
      <c r="CW1551" s="8"/>
      <c r="CX1551" s="8"/>
      <c r="CY1551" s="8"/>
      <c r="CZ1551" s="8"/>
      <c r="DA1551" s="8"/>
      <c r="DB1551" s="8"/>
      <c r="DC1551" s="8"/>
      <c r="DD1551" s="8"/>
      <c r="DE1551" s="8"/>
      <c r="DF1551" s="8"/>
      <c r="DG1551" s="8"/>
      <c r="DH1551" s="8"/>
      <c r="DI1551" s="8"/>
      <c r="DJ1551" s="8"/>
      <c r="DK1551" s="8"/>
      <c r="DL1551" s="8"/>
      <c r="DM1551" s="8"/>
      <c r="DN1551" s="8"/>
      <c r="DO1551" s="8"/>
      <c r="DP1551" s="8"/>
      <c r="DQ1551" s="8"/>
      <c r="DR1551" s="8"/>
      <c r="DS1551" s="8"/>
      <c r="DT1551" s="8"/>
      <c r="DU1551" s="8"/>
      <c r="DV1551" s="8"/>
      <c r="DW1551" s="8"/>
      <c r="DX1551" s="8"/>
      <c r="DY1551" s="8"/>
      <c r="DZ1551" s="8"/>
      <c r="EA1551" s="8"/>
      <c r="EB1551" s="8"/>
      <c r="EC1551" s="8"/>
      <c r="ED1551" s="8"/>
      <c r="EE1551" s="8"/>
      <c r="EF1551" s="8"/>
      <c r="EG1551" s="8"/>
      <c r="EH1551" s="8"/>
      <c r="EI1551" s="8"/>
      <c r="EJ1551" s="8"/>
      <c r="EK1551" s="8"/>
      <c r="EL1551" s="8"/>
      <c r="EM1551" s="8"/>
      <c r="EN1551" s="8"/>
      <c r="EO1551" s="8"/>
      <c r="EP1551" s="8"/>
      <c r="EQ1551" s="8"/>
      <c r="ER1551" s="8"/>
      <c r="ES1551" s="8"/>
      <c r="ET1551" s="8"/>
      <c r="EU1551" s="8"/>
      <c r="EV1551" s="8"/>
      <c r="EW1551" s="8"/>
      <c r="EX1551" s="8"/>
      <c r="EY1551" s="8"/>
      <c r="EZ1551" s="8"/>
      <c r="FA1551" s="8"/>
      <c r="FB1551" s="8"/>
      <c r="FC1551" s="8"/>
      <c r="FD1551" s="8"/>
      <c r="FE1551" s="8"/>
      <c r="FF1551" s="8"/>
      <c r="FG1551" s="8"/>
      <c r="FH1551" s="8"/>
      <c r="FI1551" s="8"/>
      <c r="FJ1551" s="8"/>
      <c r="FK1551" s="8"/>
      <c r="FL1551" s="8"/>
      <c r="FM1551" s="8"/>
      <c r="FN1551" s="8"/>
      <c r="FO1551" s="8"/>
      <c r="FP1551" s="8"/>
      <c r="FQ1551" s="8"/>
      <c r="FR1551" s="8"/>
      <c r="FS1551" s="8"/>
      <c r="FT1551" s="8"/>
      <c r="FU1551" s="8"/>
      <c r="FV1551" s="8"/>
      <c r="FW1551" s="8"/>
      <c r="FX1551" s="8"/>
      <c r="FY1551" s="8"/>
      <c r="FZ1551" s="8"/>
      <c r="GA1551" s="8"/>
      <c r="GB1551" s="8"/>
      <c r="GC1551" s="8"/>
      <c r="GD1551" s="8"/>
      <c r="GE1551" s="8"/>
      <c r="GF1551" s="8"/>
      <c r="GG1551" s="8"/>
      <c r="GH1551" s="8"/>
      <c r="GI1551" s="8"/>
      <c r="GJ1551" s="8"/>
      <c r="GK1551" s="8"/>
      <c r="GL1551" s="8"/>
      <c r="GM1551" s="8"/>
      <c r="GN1551" s="8"/>
      <c r="GO1551" s="8"/>
      <c r="GP1551" s="8"/>
      <c r="GQ1551" s="8"/>
      <c r="GR1551" s="8"/>
      <c r="GS1551" s="8"/>
      <c r="GT1551" s="8"/>
      <c r="GU1551" s="8"/>
      <c r="GV1551" s="8"/>
      <c r="GW1551" s="8"/>
      <c r="GX1551" s="8"/>
      <c r="GY1551" s="8"/>
      <c r="GZ1551" s="8"/>
      <c r="HA1551" s="8"/>
      <c r="HB1551" s="8"/>
      <c r="HC1551" s="8"/>
      <c r="HD1551" s="8"/>
      <c r="HE1551" s="8"/>
      <c r="HF1551" s="8"/>
      <c r="HG1551" s="8"/>
      <c r="HH1551" s="8"/>
      <c r="HI1551" s="8"/>
      <c r="HJ1551" s="8"/>
      <c r="HK1551" s="8"/>
      <c r="HL1551" s="8"/>
      <c r="HM1551" s="8"/>
      <c r="HN1551" s="8"/>
      <c r="HO1551" s="8"/>
      <c r="HP1551" s="8"/>
      <c r="HQ1551" s="8"/>
      <c r="HR1551" s="8"/>
      <c r="HS1551" s="8"/>
      <c r="HT1551" s="8"/>
      <c r="HU1551" s="8"/>
      <c r="HV1551" s="8"/>
      <c r="HW1551" s="8"/>
      <c r="HX1551" s="8"/>
      <c r="HY1551" s="8"/>
      <c r="HZ1551" s="8"/>
      <c r="IA1551" s="8"/>
      <c r="IB1551" s="8"/>
      <c r="IC1551" s="8"/>
      <c r="ID1551" s="8"/>
      <c r="IE1551" s="8"/>
      <c r="IF1551" s="8"/>
    </row>
    <row r="1552" spans="1:240">
      <c r="A1552" s="14"/>
      <c r="B1552" s="23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8"/>
      <c r="AP1552" s="8"/>
      <c r="AQ1552" s="8"/>
      <c r="AR1552" s="8"/>
      <c r="AS1552" s="8"/>
      <c r="AT1552" s="8"/>
      <c r="AU1552" s="8"/>
      <c r="AV1552" s="8"/>
      <c r="AW1552" s="8"/>
      <c r="AX1552" s="8"/>
      <c r="AY1552" s="8"/>
      <c r="AZ1552" s="8"/>
      <c r="BA1552" s="8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8"/>
      <c r="BS1552" s="8"/>
      <c r="BT1552" s="8"/>
      <c r="BU1552" s="8"/>
      <c r="BV1552" s="8"/>
      <c r="BW1552" s="8"/>
      <c r="BX1552" s="8"/>
      <c r="BY1552" s="8"/>
      <c r="BZ1552" s="8"/>
      <c r="CA1552" s="8"/>
      <c r="CB1552" s="8"/>
      <c r="CC1552" s="8"/>
      <c r="CD1552" s="8"/>
      <c r="CE1552" s="8"/>
      <c r="CF1552" s="8"/>
      <c r="CG1552" s="8"/>
      <c r="CH1552" s="8"/>
      <c r="CI1552" s="8"/>
      <c r="CJ1552" s="8"/>
      <c r="CK1552" s="8"/>
      <c r="CL1552" s="8"/>
      <c r="CM1552" s="8"/>
      <c r="CN1552" s="8"/>
      <c r="CO1552" s="8"/>
      <c r="CP1552" s="8"/>
      <c r="CQ1552" s="8"/>
      <c r="CR1552" s="8"/>
      <c r="CS1552" s="8"/>
      <c r="CT1552" s="8"/>
      <c r="CU1552" s="8"/>
      <c r="CV1552" s="8"/>
      <c r="CW1552" s="8"/>
      <c r="CX1552" s="8"/>
      <c r="CY1552" s="8"/>
      <c r="CZ1552" s="8"/>
      <c r="DA1552" s="8"/>
      <c r="DB1552" s="8"/>
      <c r="DC1552" s="8"/>
      <c r="DD1552" s="8"/>
      <c r="DE1552" s="8"/>
      <c r="DF1552" s="8"/>
      <c r="DG1552" s="8"/>
      <c r="DH1552" s="8"/>
      <c r="DI1552" s="8"/>
      <c r="DJ1552" s="8"/>
      <c r="DK1552" s="8"/>
      <c r="DL1552" s="8"/>
      <c r="DM1552" s="8"/>
      <c r="DN1552" s="8"/>
      <c r="DO1552" s="8"/>
      <c r="DP1552" s="8"/>
      <c r="DQ1552" s="8"/>
      <c r="DR1552" s="8"/>
      <c r="DS1552" s="8"/>
      <c r="DT1552" s="8"/>
      <c r="DU1552" s="8"/>
      <c r="DV1552" s="8"/>
      <c r="DW1552" s="8"/>
      <c r="DX1552" s="8"/>
      <c r="DY1552" s="8"/>
      <c r="DZ1552" s="8"/>
      <c r="EA1552" s="8"/>
      <c r="EB1552" s="8"/>
      <c r="EC1552" s="8"/>
      <c r="ED1552" s="8"/>
      <c r="EE1552" s="8"/>
      <c r="EF1552" s="8"/>
      <c r="EG1552" s="8"/>
      <c r="EH1552" s="8"/>
      <c r="EI1552" s="8"/>
      <c r="EJ1552" s="8"/>
      <c r="EK1552" s="8"/>
      <c r="EL1552" s="8"/>
      <c r="EM1552" s="8"/>
      <c r="EN1552" s="8"/>
      <c r="EO1552" s="8"/>
      <c r="EP1552" s="8"/>
      <c r="EQ1552" s="8"/>
      <c r="ER1552" s="8"/>
      <c r="ES1552" s="8"/>
      <c r="ET1552" s="8"/>
      <c r="EU1552" s="8"/>
      <c r="EV1552" s="8"/>
      <c r="EW1552" s="8"/>
      <c r="EX1552" s="8"/>
      <c r="EY1552" s="8"/>
      <c r="EZ1552" s="8"/>
      <c r="FA1552" s="8"/>
      <c r="FB1552" s="8"/>
      <c r="FC1552" s="8"/>
      <c r="FD1552" s="8"/>
      <c r="FE1552" s="8"/>
      <c r="FF1552" s="8"/>
      <c r="FG1552" s="8"/>
      <c r="FH1552" s="8"/>
      <c r="FI1552" s="8"/>
      <c r="FJ1552" s="8"/>
      <c r="FK1552" s="8"/>
      <c r="FL1552" s="8"/>
      <c r="FM1552" s="8"/>
      <c r="FN1552" s="8"/>
      <c r="FO1552" s="8"/>
      <c r="FP1552" s="8"/>
      <c r="FQ1552" s="8"/>
      <c r="FR1552" s="8"/>
      <c r="FS1552" s="8"/>
      <c r="FT1552" s="8"/>
      <c r="FU1552" s="8"/>
      <c r="FV1552" s="8"/>
      <c r="FW1552" s="8"/>
      <c r="FX1552" s="8"/>
      <c r="FY1552" s="8"/>
      <c r="FZ1552" s="8"/>
      <c r="GA1552" s="8"/>
      <c r="GB1552" s="8"/>
      <c r="GC1552" s="8"/>
      <c r="GD1552" s="8"/>
      <c r="GE1552" s="8"/>
      <c r="GF1552" s="8"/>
      <c r="GG1552" s="8"/>
      <c r="GH1552" s="8"/>
      <c r="GI1552" s="8"/>
      <c r="GJ1552" s="8"/>
      <c r="GK1552" s="8"/>
      <c r="GL1552" s="8"/>
      <c r="GM1552" s="8"/>
      <c r="GN1552" s="8"/>
      <c r="GO1552" s="8"/>
      <c r="GP1552" s="8"/>
      <c r="GQ1552" s="8"/>
      <c r="GR1552" s="8"/>
      <c r="GS1552" s="8"/>
      <c r="GT1552" s="8"/>
      <c r="GU1552" s="8"/>
      <c r="GV1552" s="8"/>
      <c r="GW1552" s="8"/>
      <c r="GX1552" s="8"/>
      <c r="GY1552" s="8"/>
      <c r="GZ1552" s="8"/>
      <c r="HA1552" s="8"/>
      <c r="HB1552" s="8"/>
      <c r="HC1552" s="8"/>
      <c r="HD1552" s="8"/>
      <c r="HE1552" s="8"/>
      <c r="HF1552" s="8"/>
      <c r="HG1552" s="8"/>
      <c r="HH1552" s="8"/>
      <c r="HI1552" s="8"/>
      <c r="HJ1552" s="8"/>
      <c r="HK1552" s="8"/>
      <c r="HL1552" s="8"/>
      <c r="HM1552" s="8"/>
      <c r="HN1552" s="8"/>
      <c r="HO1552" s="8"/>
      <c r="HP1552" s="8"/>
      <c r="HQ1552" s="8"/>
      <c r="HR1552" s="8"/>
      <c r="HS1552" s="8"/>
      <c r="HT1552" s="8"/>
      <c r="HU1552" s="8"/>
      <c r="HV1552" s="8"/>
      <c r="HW1552" s="8"/>
      <c r="HX1552" s="8"/>
      <c r="HY1552" s="8"/>
      <c r="HZ1552" s="8"/>
      <c r="IA1552" s="8"/>
      <c r="IB1552" s="8"/>
      <c r="IC1552" s="8"/>
      <c r="ID1552" s="8"/>
      <c r="IE1552" s="8"/>
      <c r="IF1552" s="8"/>
    </row>
    <row r="1553" spans="1:240">
      <c r="A1553" s="14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8"/>
      <c r="AP1553" s="8"/>
      <c r="AQ1553" s="8"/>
      <c r="AR1553" s="8"/>
      <c r="AS1553" s="8"/>
      <c r="AT1553" s="8"/>
      <c r="AU1553" s="8"/>
      <c r="AV1553" s="8"/>
      <c r="AW1553" s="8"/>
      <c r="AX1553" s="8"/>
      <c r="AY1553" s="8"/>
      <c r="AZ1553" s="8"/>
      <c r="BA1553" s="8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8"/>
      <c r="BS1553" s="8"/>
      <c r="BT1553" s="8"/>
      <c r="BU1553" s="8"/>
      <c r="BV1553" s="8"/>
      <c r="BW1553" s="8"/>
      <c r="BX1553" s="8"/>
      <c r="BY1553" s="8"/>
      <c r="BZ1553" s="8"/>
      <c r="CA1553" s="8"/>
      <c r="CB1553" s="8"/>
      <c r="CC1553" s="8"/>
      <c r="CD1553" s="8"/>
      <c r="CE1553" s="8"/>
      <c r="CF1553" s="8"/>
      <c r="CG1553" s="8"/>
      <c r="CH1553" s="8"/>
      <c r="CI1553" s="8"/>
      <c r="CJ1553" s="8"/>
      <c r="CK1553" s="8"/>
      <c r="CL1553" s="8"/>
      <c r="CM1553" s="8"/>
      <c r="CN1553" s="8"/>
      <c r="CO1553" s="8"/>
      <c r="CP1553" s="8"/>
      <c r="CQ1553" s="8"/>
      <c r="CR1553" s="8"/>
      <c r="CS1553" s="8"/>
      <c r="CT1553" s="8"/>
      <c r="CU1553" s="8"/>
      <c r="CV1553" s="8"/>
      <c r="CW1553" s="8"/>
      <c r="CX1553" s="8"/>
      <c r="CY1553" s="8"/>
      <c r="CZ1553" s="8"/>
      <c r="DA1553" s="8"/>
      <c r="DB1553" s="8"/>
      <c r="DC1553" s="8"/>
      <c r="DD1553" s="8"/>
      <c r="DE1553" s="8"/>
      <c r="DF1553" s="8"/>
      <c r="DG1553" s="8"/>
      <c r="DH1553" s="8"/>
      <c r="DI1553" s="8"/>
      <c r="DJ1553" s="8"/>
      <c r="DK1553" s="8"/>
      <c r="DL1553" s="8"/>
      <c r="DM1553" s="8"/>
      <c r="DN1553" s="8"/>
      <c r="DO1553" s="8"/>
      <c r="DP1553" s="8"/>
      <c r="DQ1553" s="8"/>
      <c r="DR1553" s="8"/>
      <c r="DS1553" s="8"/>
      <c r="DT1553" s="8"/>
      <c r="DU1553" s="8"/>
      <c r="DV1553" s="8"/>
      <c r="DW1553" s="8"/>
      <c r="DX1553" s="8"/>
      <c r="DY1553" s="8"/>
      <c r="DZ1553" s="8"/>
      <c r="EA1553" s="8"/>
      <c r="EB1553" s="8"/>
      <c r="EC1553" s="8"/>
      <c r="ED1553" s="8"/>
      <c r="EE1553" s="8"/>
      <c r="EF1553" s="8"/>
      <c r="EG1553" s="8"/>
      <c r="EH1553" s="8"/>
      <c r="EI1553" s="8"/>
      <c r="EJ1553" s="8"/>
      <c r="EK1553" s="8"/>
      <c r="EL1553" s="8"/>
      <c r="EM1553" s="8"/>
      <c r="EN1553" s="8"/>
      <c r="EO1553" s="8"/>
      <c r="EP1553" s="8"/>
      <c r="EQ1553" s="8"/>
      <c r="ER1553" s="8"/>
      <c r="ES1553" s="8"/>
      <c r="ET1553" s="8"/>
      <c r="EU1553" s="8"/>
      <c r="EV1553" s="8"/>
      <c r="EW1553" s="8"/>
      <c r="EX1553" s="8"/>
      <c r="EY1553" s="8"/>
      <c r="EZ1553" s="8"/>
      <c r="FA1553" s="8"/>
      <c r="FB1553" s="8"/>
      <c r="FC1553" s="8"/>
      <c r="FD1553" s="8"/>
      <c r="FE1553" s="8"/>
      <c r="FF1553" s="8"/>
      <c r="FG1553" s="8"/>
      <c r="FH1553" s="8"/>
      <c r="FI1553" s="8"/>
      <c r="FJ1553" s="8"/>
      <c r="FK1553" s="8"/>
      <c r="FL1553" s="8"/>
      <c r="FM1553" s="8"/>
      <c r="FN1553" s="8"/>
      <c r="FO1553" s="8"/>
      <c r="FP1553" s="8"/>
      <c r="FQ1553" s="8"/>
      <c r="FR1553" s="8"/>
      <c r="FS1553" s="8"/>
      <c r="FT1553" s="8"/>
      <c r="FU1553" s="8"/>
      <c r="FV1553" s="8"/>
      <c r="FW1553" s="8"/>
      <c r="FX1553" s="8"/>
      <c r="FY1553" s="8"/>
      <c r="FZ1553" s="8"/>
      <c r="GA1553" s="8"/>
      <c r="GB1553" s="8"/>
      <c r="GC1553" s="8"/>
      <c r="GD1553" s="8"/>
      <c r="GE1553" s="8"/>
      <c r="GF1553" s="8"/>
      <c r="GG1553" s="8"/>
      <c r="GH1553" s="8"/>
      <c r="GI1553" s="8"/>
      <c r="GJ1553" s="8"/>
      <c r="GK1553" s="8"/>
      <c r="GL1553" s="8"/>
      <c r="GM1553" s="8"/>
      <c r="GN1553" s="8"/>
      <c r="GO1553" s="8"/>
      <c r="GP1553" s="8"/>
      <c r="GQ1553" s="8"/>
      <c r="GR1553" s="8"/>
      <c r="GS1553" s="8"/>
      <c r="GT1553" s="8"/>
      <c r="GU1553" s="8"/>
      <c r="GV1553" s="8"/>
      <c r="GW1553" s="8"/>
      <c r="GX1553" s="8"/>
      <c r="GY1553" s="8"/>
      <c r="GZ1553" s="8"/>
      <c r="HA1553" s="8"/>
      <c r="HB1553" s="8"/>
      <c r="HC1553" s="8"/>
      <c r="HD1553" s="8"/>
      <c r="HE1553" s="8"/>
      <c r="HF1553" s="8"/>
      <c r="HG1553" s="8"/>
      <c r="HH1553" s="8"/>
      <c r="HI1553" s="8"/>
      <c r="HJ1553" s="8"/>
      <c r="HK1553" s="8"/>
      <c r="HL1553" s="8"/>
      <c r="HM1553" s="8"/>
      <c r="HN1553" s="8"/>
      <c r="HO1553" s="8"/>
      <c r="HP1553" s="8"/>
      <c r="HQ1553" s="8"/>
      <c r="HR1553" s="8"/>
      <c r="HS1553" s="8"/>
      <c r="HT1553" s="8"/>
      <c r="HU1553" s="8"/>
      <c r="HV1553" s="8"/>
      <c r="HW1553" s="8"/>
      <c r="HX1553" s="8"/>
      <c r="HY1553" s="8"/>
      <c r="HZ1553" s="8"/>
      <c r="IA1553" s="8"/>
      <c r="IB1553" s="8"/>
      <c r="IC1553" s="8"/>
      <c r="ID1553" s="8"/>
      <c r="IE1553" s="8"/>
      <c r="IF1553" s="8"/>
    </row>
    <row r="1554" spans="1:240">
      <c r="A1554" s="14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8"/>
      <c r="AP1554" s="8"/>
      <c r="AQ1554" s="8"/>
      <c r="AR1554" s="8"/>
      <c r="AS1554" s="8"/>
      <c r="AT1554" s="8"/>
      <c r="AU1554" s="8"/>
      <c r="AV1554" s="8"/>
      <c r="AW1554" s="8"/>
      <c r="AX1554" s="8"/>
      <c r="AY1554" s="8"/>
      <c r="AZ1554" s="8"/>
      <c r="BA1554" s="8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8"/>
      <c r="BS1554" s="8"/>
      <c r="BT1554" s="8"/>
      <c r="BU1554" s="8"/>
      <c r="BV1554" s="8"/>
      <c r="BW1554" s="8"/>
      <c r="BX1554" s="8"/>
      <c r="BY1554" s="8"/>
      <c r="BZ1554" s="8"/>
      <c r="CA1554" s="8"/>
      <c r="CB1554" s="8"/>
      <c r="CC1554" s="8"/>
      <c r="CD1554" s="8"/>
      <c r="CE1554" s="8"/>
      <c r="CF1554" s="8"/>
      <c r="CG1554" s="8"/>
      <c r="CH1554" s="8"/>
      <c r="CI1554" s="8"/>
      <c r="CJ1554" s="8"/>
      <c r="CK1554" s="8"/>
      <c r="CL1554" s="8"/>
      <c r="CM1554" s="8"/>
      <c r="CN1554" s="8"/>
      <c r="CO1554" s="8"/>
      <c r="CP1554" s="8"/>
      <c r="CQ1554" s="8"/>
      <c r="CR1554" s="8"/>
      <c r="CS1554" s="8"/>
      <c r="CT1554" s="8"/>
      <c r="CU1554" s="8"/>
      <c r="CV1554" s="8"/>
      <c r="CW1554" s="8"/>
      <c r="CX1554" s="8"/>
      <c r="CY1554" s="8"/>
      <c r="CZ1554" s="8"/>
      <c r="DA1554" s="8"/>
      <c r="DB1554" s="8"/>
      <c r="DC1554" s="8"/>
      <c r="DD1554" s="8"/>
      <c r="DE1554" s="8"/>
      <c r="DF1554" s="8"/>
      <c r="DG1554" s="8"/>
      <c r="DH1554" s="8"/>
      <c r="DI1554" s="8"/>
      <c r="DJ1554" s="8"/>
      <c r="DK1554" s="8"/>
      <c r="DL1554" s="8"/>
      <c r="DM1554" s="8"/>
      <c r="DN1554" s="8"/>
      <c r="DO1554" s="8"/>
      <c r="DP1554" s="8"/>
      <c r="DQ1554" s="8"/>
      <c r="DR1554" s="8"/>
      <c r="DS1554" s="8"/>
      <c r="DT1554" s="8"/>
      <c r="DU1554" s="8"/>
      <c r="DV1554" s="8"/>
      <c r="DW1554" s="8"/>
      <c r="DX1554" s="8"/>
      <c r="DY1554" s="8"/>
      <c r="DZ1554" s="8"/>
      <c r="EA1554" s="8"/>
      <c r="EB1554" s="8"/>
      <c r="EC1554" s="8"/>
      <c r="ED1554" s="8"/>
      <c r="EE1554" s="8"/>
      <c r="EF1554" s="8"/>
      <c r="EG1554" s="8"/>
      <c r="EH1554" s="8"/>
      <c r="EI1554" s="8"/>
      <c r="EJ1554" s="8"/>
      <c r="EK1554" s="8"/>
      <c r="EL1554" s="8"/>
      <c r="EM1554" s="8"/>
      <c r="EN1554" s="8"/>
      <c r="EO1554" s="8"/>
      <c r="EP1554" s="8"/>
      <c r="EQ1554" s="8"/>
      <c r="ER1554" s="8"/>
      <c r="ES1554" s="8"/>
      <c r="ET1554" s="8"/>
      <c r="EU1554" s="8"/>
      <c r="EV1554" s="8"/>
      <c r="EW1554" s="8"/>
      <c r="EX1554" s="8"/>
      <c r="EY1554" s="8"/>
      <c r="EZ1554" s="8"/>
      <c r="FA1554" s="8"/>
      <c r="FB1554" s="8"/>
      <c r="FC1554" s="8"/>
      <c r="FD1554" s="8"/>
      <c r="FE1554" s="8"/>
      <c r="FF1554" s="8"/>
      <c r="FG1554" s="8"/>
      <c r="FH1554" s="8"/>
      <c r="FI1554" s="8"/>
      <c r="FJ1554" s="8"/>
      <c r="FK1554" s="8"/>
      <c r="FL1554" s="8"/>
      <c r="FM1554" s="8"/>
      <c r="FN1554" s="8"/>
      <c r="FO1554" s="8"/>
      <c r="FP1554" s="8"/>
      <c r="FQ1554" s="8"/>
      <c r="FR1554" s="8"/>
      <c r="FS1554" s="8"/>
      <c r="FT1554" s="8"/>
      <c r="FU1554" s="8"/>
      <c r="FV1554" s="8"/>
      <c r="FW1554" s="8"/>
      <c r="FX1554" s="8"/>
      <c r="FY1554" s="8"/>
      <c r="FZ1554" s="8"/>
      <c r="GA1554" s="8"/>
      <c r="GB1554" s="8"/>
      <c r="GC1554" s="8"/>
      <c r="GD1554" s="8"/>
      <c r="GE1554" s="8"/>
      <c r="GF1554" s="8"/>
      <c r="GG1554" s="8"/>
      <c r="GH1554" s="8"/>
      <c r="GI1554" s="8"/>
      <c r="GJ1554" s="8"/>
      <c r="GK1554" s="8"/>
      <c r="GL1554" s="8"/>
      <c r="GM1554" s="8"/>
      <c r="GN1554" s="8"/>
      <c r="GO1554" s="8"/>
      <c r="GP1554" s="8"/>
      <c r="GQ1554" s="8"/>
      <c r="GR1554" s="8"/>
      <c r="GS1554" s="8"/>
      <c r="GT1554" s="8"/>
      <c r="GU1554" s="8"/>
      <c r="GV1554" s="8"/>
      <c r="GW1554" s="8"/>
      <c r="GX1554" s="8"/>
      <c r="GY1554" s="8"/>
      <c r="GZ1554" s="8"/>
      <c r="HA1554" s="8"/>
      <c r="HB1554" s="8"/>
      <c r="HC1554" s="8"/>
      <c r="HD1554" s="8"/>
      <c r="HE1554" s="8"/>
      <c r="HF1554" s="8"/>
      <c r="HG1554" s="8"/>
      <c r="HH1554" s="8"/>
      <c r="HI1554" s="8"/>
      <c r="HJ1554" s="8"/>
      <c r="HK1554" s="8"/>
      <c r="HL1554" s="8"/>
      <c r="HM1554" s="8"/>
      <c r="HN1554" s="8"/>
      <c r="HO1554" s="8"/>
      <c r="HP1554" s="8"/>
      <c r="HQ1554" s="8"/>
      <c r="HR1554" s="8"/>
      <c r="HS1554" s="8"/>
      <c r="HT1554" s="8"/>
      <c r="HU1554" s="8"/>
      <c r="HV1554" s="8"/>
      <c r="HW1554" s="8"/>
      <c r="HX1554" s="8"/>
      <c r="HY1554" s="8"/>
      <c r="HZ1554" s="8"/>
      <c r="IA1554" s="8"/>
      <c r="IB1554" s="8"/>
      <c r="IC1554" s="8"/>
      <c r="ID1554" s="8"/>
      <c r="IE1554" s="8"/>
      <c r="IF1554" s="8"/>
    </row>
    <row r="1555" spans="1:240">
      <c r="A1555" s="14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8"/>
      <c r="AP1555" s="8"/>
      <c r="AQ1555" s="8"/>
      <c r="AR1555" s="8"/>
      <c r="AS1555" s="8"/>
      <c r="AT1555" s="8"/>
      <c r="AU1555" s="8"/>
      <c r="AV1555" s="8"/>
      <c r="AW1555" s="8"/>
      <c r="AX1555" s="8"/>
      <c r="AY1555" s="8"/>
      <c r="AZ1555" s="8"/>
      <c r="BA1555" s="8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8"/>
      <c r="BS1555" s="8"/>
      <c r="BT1555" s="8"/>
      <c r="BU1555" s="8"/>
      <c r="BV1555" s="8"/>
      <c r="BW1555" s="8"/>
      <c r="BX1555" s="8"/>
      <c r="BY1555" s="8"/>
      <c r="BZ1555" s="8"/>
      <c r="CA1555" s="8"/>
      <c r="CB1555" s="8"/>
      <c r="CC1555" s="8"/>
      <c r="CD1555" s="8"/>
      <c r="CE1555" s="8"/>
      <c r="CF1555" s="8"/>
      <c r="CG1555" s="8"/>
      <c r="CH1555" s="8"/>
      <c r="CI1555" s="8"/>
      <c r="CJ1555" s="8"/>
      <c r="CK1555" s="8"/>
      <c r="CL1555" s="8"/>
      <c r="CM1555" s="8"/>
      <c r="CN1555" s="8"/>
      <c r="CO1555" s="8"/>
      <c r="CP1555" s="8"/>
      <c r="CQ1555" s="8"/>
      <c r="CR1555" s="8"/>
      <c r="CS1555" s="8"/>
      <c r="CT1555" s="8"/>
      <c r="CU1555" s="8"/>
      <c r="CV1555" s="8"/>
      <c r="CW1555" s="8"/>
      <c r="CX1555" s="8"/>
      <c r="CY1555" s="8"/>
      <c r="CZ1555" s="8"/>
      <c r="DA1555" s="8"/>
      <c r="DB1555" s="8"/>
      <c r="DC1555" s="8"/>
      <c r="DD1555" s="8"/>
      <c r="DE1555" s="8"/>
      <c r="DF1555" s="8"/>
      <c r="DG1555" s="8"/>
      <c r="DH1555" s="8"/>
      <c r="DI1555" s="8"/>
      <c r="DJ1555" s="8"/>
      <c r="DK1555" s="8"/>
      <c r="DL1555" s="8"/>
      <c r="DM1555" s="8"/>
      <c r="DN1555" s="8"/>
      <c r="DO1555" s="8"/>
      <c r="DP1555" s="8"/>
      <c r="DQ1555" s="8"/>
      <c r="DR1555" s="8"/>
      <c r="DS1555" s="8"/>
      <c r="DT1555" s="8"/>
      <c r="DU1555" s="8"/>
      <c r="DV1555" s="8"/>
      <c r="DW1555" s="8"/>
      <c r="DX1555" s="8"/>
      <c r="DY1555" s="8"/>
      <c r="DZ1555" s="8"/>
      <c r="EA1555" s="8"/>
      <c r="EB1555" s="8"/>
      <c r="EC1555" s="8"/>
      <c r="ED1555" s="8"/>
      <c r="EE1555" s="8"/>
      <c r="EF1555" s="8"/>
      <c r="EG1555" s="8"/>
      <c r="EH1555" s="8"/>
      <c r="EI1555" s="8"/>
      <c r="EJ1555" s="8"/>
      <c r="EK1555" s="8"/>
      <c r="EL1555" s="8"/>
      <c r="EM1555" s="8"/>
      <c r="EN1555" s="8"/>
      <c r="EO1555" s="8"/>
      <c r="EP1555" s="8"/>
      <c r="EQ1555" s="8"/>
      <c r="ER1555" s="8"/>
      <c r="ES1555" s="8"/>
      <c r="ET1555" s="8"/>
      <c r="EU1555" s="8"/>
      <c r="EV1555" s="8"/>
      <c r="EW1555" s="8"/>
      <c r="EX1555" s="8"/>
      <c r="EY1555" s="8"/>
      <c r="EZ1555" s="8"/>
      <c r="FA1555" s="8"/>
      <c r="FB1555" s="8"/>
      <c r="FC1555" s="8"/>
      <c r="FD1555" s="8"/>
      <c r="FE1555" s="8"/>
      <c r="FF1555" s="8"/>
      <c r="FG1555" s="8"/>
      <c r="FH1555" s="8"/>
      <c r="FI1555" s="8"/>
      <c r="FJ1555" s="8"/>
      <c r="FK1555" s="8"/>
      <c r="FL1555" s="8"/>
      <c r="FM1555" s="8"/>
      <c r="FN1555" s="8"/>
      <c r="FO1555" s="8"/>
      <c r="FP1555" s="8"/>
      <c r="FQ1555" s="8"/>
      <c r="FR1555" s="8"/>
      <c r="FS1555" s="8"/>
      <c r="FT1555" s="8"/>
      <c r="FU1555" s="8"/>
      <c r="FV1555" s="8"/>
      <c r="FW1555" s="8"/>
      <c r="FX1555" s="8"/>
      <c r="FY1555" s="8"/>
      <c r="FZ1555" s="8"/>
      <c r="GA1555" s="8"/>
      <c r="GB1555" s="8"/>
      <c r="GC1555" s="8"/>
      <c r="GD1555" s="8"/>
      <c r="GE1555" s="8"/>
      <c r="GF1555" s="8"/>
      <c r="GG1555" s="8"/>
      <c r="GH1555" s="8"/>
      <c r="GI1555" s="8"/>
      <c r="GJ1555" s="8"/>
      <c r="GK1555" s="8"/>
      <c r="GL1555" s="8"/>
      <c r="GM1555" s="8"/>
      <c r="GN1555" s="8"/>
      <c r="GO1555" s="8"/>
      <c r="GP1555" s="8"/>
      <c r="GQ1555" s="8"/>
      <c r="GR1555" s="8"/>
      <c r="GS1555" s="8"/>
      <c r="GT1555" s="8"/>
      <c r="GU1555" s="8"/>
      <c r="GV1555" s="8"/>
      <c r="GW1555" s="8"/>
      <c r="GX1555" s="8"/>
      <c r="GY1555" s="8"/>
      <c r="GZ1555" s="8"/>
      <c r="HA1555" s="8"/>
      <c r="HB1555" s="8"/>
      <c r="HC1555" s="8"/>
      <c r="HD1555" s="8"/>
      <c r="HE1555" s="8"/>
      <c r="HF1555" s="8"/>
      <c r="HG1555" s="8"/>
      <c r="HH1555" s="8"/>
      <c r="HI1555" s="8"/>
      <c r="HJ1555" s="8"/>
      <c r="HK1555" s="8"/>
      <c r="HL1555" s="8"/>
      <c r="HM1555" s="8"/>
      <c r="HN1555" s="8"/>
      <c r="HO1555" s="8"/>
      <c r="HP1555" s="8"/>
      <c r="HQ1555" s="8"/>
      <c r="HR1555" s="8"/>
      <c r="HS1555" s="8"/>
      <c r="HT1555" s="8"/>
      <c r="HU1555" s="8"/>
      <c r="HV1555" s="8"/>
      <c r="HW1555" s="8"/>
      <c r="HX1555" s="8"/>
      <c r="HY1555" s="8"/>
      <c r="HZ1555" s="8"/>
      <c r="IA1555" s="8"/>
      <c r="IB1555" s="8"/>
      <c r="IC1555" s="8"/>
      <c r="ID1555" s="8"/>
      <c r="IE1555" s="8"/>
      <c r="IF1555" s="8"/>
    </row>
    <row r="1556" spans="1:240">
      <c r="A1556" s="14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8"/>
      <c r="AP1556" s="8"/>
      <c r="AQ1556" s="8"/>
      <c r="AR1556" s="8"/>
      <c r="AS1556" s="8"/>
      <c r="AT1556" s="8"/>
      <c r="AU1556" s="8"/>
      <c r="AV1556" s="8"/>
      <c r="AW1556" s="8"/>
      <c r="AX1556" s="8"/>
      <c r="AY1556" s="8"/>
      <c r="AZ1556" s="8"/>
      <c r="BA1556" s="8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8"/>
      <c r="BS1556" s="8"/>
      <c r="BT1556" s="8"/>
      <c r="BU1556" s="8"/>
      <c r="BV1556" s="8"/>
      <c r="BW1556" s="8"/>
      <c r="BX1556" s="8"/>
      <c r="BY1556" s="8"/>
      <c r="BZ1556" s="8"/>
      <c r="CA1556" s="8"/>
      <c r="CB1556" s="8"/>
      <c r="CC1556" s="8"/>
      <c r="CD1556" s="8"/>
      <c r="CE1556" s="8"/>
      <c r="CF1556" s="8"/>
      <c r="CG1556" s="8"/>
      <c r="CH1556" s="8"/>
      <c r="CI1556" s="8"/>
      <c r="CJ1556" s="8"/>
      <c r="CK1556" s="8"/>
      <c r="CL1556" s="8"/>
      <c r="CM1556" s="8"/>
      <c r="CN1556" s="8"/>
      <c r="CO1556" s="8"/>
      <c r="CP1556" s="8"/>
      <c r="CQ1556" s="8"/>
      <c r="CR1556" s="8"/>
      <c r="CS1556" s="8"/>
      <c r="CT1556" s="8"/>
      <c r="CU1556" s="8"/>
      <c r="CV1556" s="8"/>
      <c r="CW1556" s="8"/>
      <c r="CX1556" s="8"/>
      <c r="CY1556" s="8"/>
      <c r="CZ1556" s="8"/>
      <c r="DA1556" s="8"/>
      <c r="DB1556" s="8"/>
      <c r="DC1556" s="8"/>
      <c r="DD1556" s="8"/>
      <c r="DE1556" s="8"/>
      <c r="DF1556" s="8"/>
      <c r="DG1556" s="8"/>
      <c r="DH1556" s="8"/>
      <c r="DI1556" s="8"/>
      <c r="DJ1556" s="8"/>
      <c r="DK1556" s="8"/>
      <c r="DL1556" s="8"/>
      <c r="DM1556" s="8"/>
      <c r="DN1556" s="8"/>
      <c r="DO1556" s="8"/>
      <c r="DP1556" s="8"/>
      <c r="DQ1556" s="8"/>
      <c r="DR1556" s="8"/>
      <c r="DS1556" s="8"/>
      <c r="DT1556" s="8"/>
      <c r="DU1556" s="8"/>
      <c r="DV1556" s="8"/>
      <c r="DW1556" s="8"/>
      <c r="DX1556" s="8"/>
      <c r="DY1556" s="8"/>
      <c r="DZ1556" s="8"/>
      <c r="EA1556" s="8"/>
      <c r="EB1556" s="8"/>
      <c r="EC1556" s="8"/>
      <c r="ED1556" s="8"/>
      <c r="EE1556" s="8"/>
      <c r="EF1556" s="8"/>
      <c r="EG1556" s="8"/>
      <c r="EH1556" s="8"/>
      <c r="EI1556" s="8"/>
      <c r="EJ1556" s="8"/>
      <c r="EK1556" s="8"/>
      <c r="EL1556" s="8"/>
      <c r="EM1556" s="8"/>
      <c r="EN1556" s="8"/>
      <c r="EO1556" s="8"/>
      <c r="EP1556" s="8"/>
      <c r="EQ1556" s="8"/>
      <c r="ER1556" s="8"/>
      <c r="ES1556" s="8"/>
      <c r="ET1556" s="8"/>
      <c r="EU1556" s="8"/>
      <c r="EV1556" s="8"/>
      <c r="EW1556" s="8"/>
      <c r="EX1556" s="8"/>
      <c r="EY1556" s="8"/>
      <c r="EZ1556" s="8"/>
      <c r="FA1556" s="8"/>
      <c r="FB1556" s="8"/>
      <c r="FC1556" s="8"/>
      <c r="FD1556" s="8"/>
      <c r="FE1556" s="8"/>
      <c r="FF1556" s="8"/>
      <c r="FG1556" s="8"/>
      <c r="FH1556" s="8"/>
      <c r="FI1556" s="8"/>
      <c r="FJ1556" s="8"/>
      <c r="FK1556" s="8"/>
      <c r="FL1556" s="8"/>
      <c r="FM1556" s="8"/>
      <c r="FN1556" s="8"/>
      <c r="FO1556" s="8"/>
      <c r="FP1556" s="8"/>
      <c r="FQ1556" s="8"/>
      <c r="FR1556" s="8"/>
      <c r="FS1556" s="8"/>
      <c r="FT1556" s="8"/>
      <c r="FU1556" s="8"/>
      <c r="FV1556" s="8"/>
      <c r="FW1556" s="8"/>
      <c r="FX1556" s="8"/>
      <c r="FY1556" s="8"/>
      <c r="FZ1556" s="8"/>
      <c r="GA1556" s="8"/>
      <c r="GB1556" s="8"/>
      <c r="GC1556" s="8"/>
      <c r="GD1556" s="8"/>
      <c r="GE1556" s="8"/>
      <c r="GF1556" s="8"/>
      <c r="GG1556" s="8"/>
      <c r="GH1556" s="8"/>
      <c r="GI1556" s="8"/>
      <c r="GJ1556" s="8"/>
      <c r="GK1556" s="8"/>
      <c r="GL1556" s="8"/>
      <c r="GM1556" s="8"/>
      <c r="GN1556" s="8"/>
      <c r="GO1556" s="8"/>
      <c r="GP1556" s="8"/>
      <c r="GQ1556" s="8"/>
      <c r="GR1556" s="8"/>
      <c r="GS1556" s="8"/>
      <c r="GT1556" s="8"/>
      <c r="GU1556" s="8"/>
      <c r="GV1556" s="8"/>
      <c r="GW1556" s="8"/>
      <c r="GX1556" s="8"/>
      <c r="GY1556" s="8"/>
      <c r="GZ1556" s="8"/>
      <c r="HA1556" s="8"/>
      <c r="HB1556" s="8"/>
      <c r="HC1556" s="8"/>
      <c r="HD1556" s="8"/>
      <c r="HE1556" s="8"/>
      <c r="HF1556" s="8"/>
      <c r="HG1556" s="8"/>
      <c r="HH1556" s="8"/>
      <c r="HI1556" s="8"/>
      <c r="HJ1556" s="8"/>
      <c r="HK1556" s="8"/>
      <c r="HL1556" s="8"/>
      <c r="HM1556" s="8"/>
      <c r="HN1556" s="8"/>
      <c r="HO1556" s="8"/>
      <c r="HP1556" s="8"/>
      <c r="HQ1556" s="8"/>
      <c r="HR1556" s="8"/>
      <c r="HS1556" s="8"/>
      <c r="HT1556" s="8"/>
      <c r="HU1556" s="8"/>
      <c r="HV1556" s="8"/>
      <c r="HW1556" s="8"/>
      <c r="HX1556" s="8"/>
      <c r="HY1556" s="8"/>
      <c r="HZ1556" s="8"/>
      <c r="IA1556" s="8"/>
      <c r="IB1556" s="8"/>
      <c r="IC1556" s="8"/>
      <c r="ID1556" s="8"/>
      <c r="IE1556" s="8"/>
      <c r="IF1556" s="8"/>
    </row>
    <row r="1557" spans="1:240">
      <c r="A1557" s="14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8"/>
      <c r="AP1557" s="8"/>
      <c r="AQ1557" s="8"/>
      <c r="AR1557" s="8"/>
      <c r="AS1557" s="8"/>
      <c r="AT1557" s="8"/>
      <c r="AU1557" s="8"/>
      <c r="AV1557" s="8"/>
      <c r="AW1557" s="8"/>
      <c r="AX1557" s="8"/>
      <c r="AY1557" s="8"/>
      <c r="AZ1557" s="8"/>
      <c r="BA1557" s="8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8"/>
      <c r="BS1557" s="8"/>
      <c r="BT1557" s="8"/>
      <c r="BU1557" s="8"/>
      <c r="BV1557" s="8"/>
      <c r="BW1557" s="8"/>
      <c r="BX1557" s="8"/>
      <c r="BY1557" s="8"/>
      <c r="BZ1557" s="8"/>
      <c r="CA1557" s="8"/>
      <c r="CB1557" s="8"/>
      <c r="CC1557" s="8"/>
      <c r="CD1557" s="8"/>
      <c r="CE1557" s="8"/>
      <c r="CF1557" s="8"/>
      <c r="CG1557" s="8"/>
      <c r="CH1557" s="8"/>
      <c r="CI1557" s="8"/>
      <c r="CJ1557" s="8"/>
      <c r="CK1557" s="8"/>
      <c r="CL1557" s="8"/>
      <c r="CM1557" s="8"/>
      <c r="CN1557" s="8"/>
      <c r="CO1557" s="8"/>
      <c r="CP1557" s="8"/>
      <c r="CQ1557" s="8"/>
      <c r="CR1557" s="8"/>
      <c r="CS1557" s="8"/>
      <c r="CT1557" s="8"/>
      <c r="CU1557" s="8"/>
      <c r="CV1557" s="8"/>
      <c r="CW1557" s="8"/>
      <c r="CX1557" s="8"/>
      <c r="CY1557" s="8"/>
      <c r="CZ1557" s="8"/>
      <c r="DA1557" s="8"/>
      <c r="DB1557" s="8"/>
      <c r="DC1557" s="8"/>
      <c r="DD1557" s="8"/>
      <c r="DE1557" s="8"/>
      <c r="DF1557" s="8"/>
      <c r="DG1557" s="8"/>
      <c r="DH1557" s="8"/>
      <c r="DI1557" s="8"/>
      <c r="DJ1557" s="8"/>
      <c r="DK1557" s="8"/>
      <c r="DL1557" s="8"/>
      <c r="DM1557" s="8"/>
      <c r="DN1557" s="8"/>
      <c r="DO1557" s="8"/>
      <c r="DP1557" s="8"/>
      <c r="DQ1557" s="8"/>
      <c r="DR1557" s="8"/>
      <c r="DS1557" s="8"/>
      <c r="DT1557" s="8"/>
      <c r="DU1557" s="8"/>
      <c r="DV1557" s="8"/>
      <c r="DW1557" s="8"/>
      <c r="DX1557" s="8"/>
      <c r="DY1557" s="8"/>
      <c r="DZ1557" s="8"/>
      <c r="EA1557" s="8"/>
      <c r="EB1557" s="8"/>
      <c r="EC1557" s="8"/>
      <c r="ED1557" s="8"/>
      <c r="EE1557" s="8"/>
      <c r="EF1557" s="8"/>
      <c r="EG1557" s="8"/>
      <c r="EH1557" s="8"/>
      <c r="EI1557" s="8"/>
      <c r="EJ1557" s="8"/>
      <c r="EK1557" s="8"/>
      <c r="EL1557" s="8"/>
      <c r="EM1557" s="8"/>
      <c r="EN1557" s="8"/>
      <c r="EO1557" s="8"/>
      <c r="EP1557" s="8"/>
      <c r="EQ1557" s="8"/>
      <c r="ER1557" s="8"/>
      <c r="ES1557" s="8"/>
      <c r="ET1557" s="8"/>
      <c r="EU1557" s="8"/>
      <c r="EV1557" s="8"/>
      <c r="EW1557" s="8"/>
      <c r="EX1557" s="8"/>
      <c r="EY1557" s="8"/>
      <c r="EZ1557" s="8"/>
      <c r="FA1557" s="8"/>
      <c r="FB1557" s="8"/>
      <c r="FC1557" s="8"/>
      <c r="FD1557" s="8"/>
      <c r="FE1557" s="8"/>
      <c r="FF1557" s="8"/>
      <c r="FG1557" s="8"/>
      <c r="FH1557" s="8"/>
      <c r="FI1557" s="8"/>
      <c r="FJ1557" s="8"/>
      <c r="FK1557" s="8"/>
      <c r="FL1557" s="8"/>
      <c r="FM1557" s="8"/>
      <c r="FN1557" s="8"/>
      <c r="FO1557" s="8"/>
      <c r="FP1557" s="8"/>
      <c r="FQ1557" s="8"/>
      <c r="FR1557" s="8"/>
      <c r="FS1557" s="8"/>
      <c r="FT1557" s="8"/>
      <c r="FU1557" s="8"/>
      <c r="FV1557" s="8"/>
      <c r="FW1557" s="8"/>
      <c r="FX1557" s="8"/>
      <c r="FY1557" s="8"/>
      <c r="FZ1557" s="8"/>
      <c r="GA1557" s="8"/>
      <c r="GB1557" s="8"/>
      <c r="GC1557" s="8"/>
      <c r="GD1557" s="8"/>
      <c r="GE1557" s="8"/>
      <c r="GF1557" s="8"/>
      <c r="GG1557" s="8"/>
      <c r="GH1557" s="8"/>
      <c r="GI1557" s="8"/>
      <c r="GJ1557" s="8"/>
      <c r="GK1557" s="8"/>
      <c r="GL1557" s="8"/>
      <c r="GM1557" s="8"/>
      <c r="GN1557" s="8"/>
      <c r="GO1557" s="8"/>
      <c r="GP1557" s="8"/>
      <c r="GQ1557" s="8"/>
      <c r="GR1557" s="8"/>
      <c r="GS1557" s="8"/>
      <c r="GT1557" s="8"/>
      <c r="GU1557" s="8"/>
      <c r="GV1557" s="8"/>
      <c r="GW1557" s="8"/>
      <c r="GX1557" s="8"/>
      <c r="GY1557" s="8"/>
      <c r="GZ1557" s="8"/>
      <c r="HA1557" s="8"/>
      <c r="HB1557" s="8"/>
      <c r="HC1557" s="8"/>
      <c r="HD1557" s="8"/>
      <c r="HE1557" s="8"/>
      <c r="HF1557" s="8"/>
      <c r="HG1557" s="8"/>
      <c r="HH1557" s="8"/>
      <c r="HI1557" s="8"/>
      <c r="HJ1557" s="8"/>
      <c r="HK1557" s="8"/>
      <c r="HL1557" s="8"/>
      <c r="HM1557" s="8"/>
      <c r="HN1557" s="8"/>
      <c r="HO1557" s="8"/>
      <c r="HP1557" s="8"/>
      <c r="HQ1557" s="8"/>
      <c r="HR1557" s="8"/>
      <c r="HS1557" s="8"/>
      <c r="HT1557" s="8"/>
      <c r="HU1557" s="8"/>
      <c r="HV1557" s="8"/>
      <c r="HW1557" s="8"/>
      <c r="HX1557" s="8"/>
      <c r="HY1557" s="8"/>
      <c r="HZ1557" s="8"/>
      <c r="IA1557" s="8"/>
      <c r="IB1557" s="8"/>
      <c r="IC1557" s="8"/>
      <c r="ID1557" s="8"/>
      <c r="IE1557" s="8"/>
      <c r="IF1557" s="8"/>
    </row>
    <row r="1558" spans="1:240">
      <c r="AO1558" s="8"/>
      <c r="AP1558" s="8"/>
      <c r="AQ1558" s="8"/>
      <c r="AR1558" s="8"/>
      <c r="AS1558" s="8"/>
      <c r="AT1558" s="8"/>
      <c r="AU1558" s="8"/>
      <c r="AV1558" s="8"/>
      <c r="AW1558" s="8"/>
      <c r="AX1558" s="8"/>
      <c r="AY1558" s="8"/>
      <c r="AZ1558" s="8"/>
      <c r="BA1558" s="8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/>
      <c r="BQ1558" s="8"/>
      <c r="BR1558" s="8"/>
      <c r="BS1558" s="8"/>
      <c r="BT1558" s="8"/>
      <c r="BU1558" s="8"/>
      <c r="BV1558" s="8"/>
      <c r="BW1558" s="8"/>
      <c r="BX1558" s="8"/>
      <c r="BY1558" s="8"/>
      <c r="BZ1558" s="8"/>
      <c r="CA1558" s="8"/>
      <c r="CB1558" s="8"/>
      <c r="CC1558" s="8"/>
      <c r="CD1558" s="8"/>
      <c r="CE1558" s="8"/>
      <c r="CF1558" s="8"/>
      <c r="CG1558" s="8"/>
      <c r="CH1558" s="8"/>
      <c r="CI1558" s="8"/>
      <c r="CJ1558" s="8"/>
      <c r="CK1558" s="8"/>
      <c r="CL1558" s="8"/>
      <c r="CM1558" s="8"/>
      <c r="CN1558" s="8"/>
      <c r="CO1558" s="8"/>
      <c r="CP1558" s="8"/>
      <c r="CQ1558" s="8"/>
      <c r="CR1558" s="8"/>
      <c r="CS1558" s="8"/>
      <c r="CT1558" s="8"/>
      <c r="CU1558" s="8"/>
      <c r="CV1558" s="8"/>
      <c r="CW1558" s="8"/>
      <c r="CX1558" s="8"/>
      <c r="CY1558" s="8"/>
      <c r="CZ1558" s="8"/>
      <c r="DA1558" s="8"/>
      <c r="DB1558" s="8"/>
      <c r="DC1558" s="8"/>
      <c r="DD1558" s="8"/>
      <c r="DE1558" s="8"/>
      <c r="DF1558" s="8"/>
      <c r="DG1558" s="8"/>
      <c r="DH1558" s="8"/>
      <c r="DI1558" s="8"/>
      <c r="DJ1558" s="8"/>
      <c r="DK1558" s="8"/>
      <c r="DL1558" s="8"/>
      <c r="DM1558" s="8"/>
      <c r="DN1558" s="8"/>
      <c r="DO1558" s="8"/>
      <c r="DP1558" s="8"/>
      <c r="DQ1558" s="8"/>
      <c r="DR1558" s="8"/>
      <c r="DS1558" s="8"/>
      <c r="DT1558" s="8"/>
      <c r="DU1558" s="8"/>
      <c r="DV1558" s="8"/>
      <c r="DW1558" s="8"/>
      <c r="DX1558" s="8"/>
      <c r="DY1558" s="8"/>
      <c r="DZ1558" s="8"/>
      <c r="EA1558" s="8"/>
      <c r="EB1558" s="8"/>
      <c r="EC1558" s="8"/>
      <c r="ED1558" s="8"/>
      <c r="EE1558" s="8"/>
      <c r="EF1558" s="8"/>
      <c r="EG1558" s="8"/>
      <c r="EH1558" s="8"/>
      <c r="EI1558" s="8"/>
      <c r="EJ1558" s="8"/>
      <c r="EK1558" s="8"/>
      <c r="EL1558" s="8"/>
      <c r="EM1558" s="8"/>
      <c r="EN1558" s="8"/>
      <c r="EO1558" s="8"/>
      <c r="EP1558" s="8"/>
      <c r="EQ1558" s="8"/>
      <c r="ER1558" s="8"/>
      <c r="ES1558" s="8"/>
      <c r="ET1558" s="8"/>
      <c r="EU1558" s="8"/>
      <c r="EV1558" s="8"/>
      <c r="EW1558" s="8"/>
      <c r="EX1558" s="8"/>
      <c r="EY1558" s="8"/>
      <c r="EZ1558" s="8"/>
      <c r="FA1558" s="8"/>
      <c r="FB1558" s="8"/>
      <c r="FC1558" s="8"/>
      <c r="FD1558" s="8"/>
      <c r="FE1558" s="8"/>
      <c r="FF1558" s="8"/>
      <c r="FG1558" s="8"/>
      <c r="FH1558" s="8"/>
      <c r="FI1558" s="8"/>
      <c r="FJ1558" s="8"/>
      <c r="FK1558" s="8"/>
      <c r="FL1558" s="8"/>
      <c r="FM1558" s="8"/>
      <c r="FN1558" s="8"/>
      <c r="FO1558" s="8"/>
      <c r="FP1558" s="8"/>
      <c r="FQ1558" s="8"/>
      <c r="FR1558" s="8"/>
      <c r="FS1558" s="8"/>
      <c r="FT1558" s="8"/>
      <c r="FU1558" s="8"/>
      <c r="FV1558" s="8"/>
      <c r="FW1558" s="8"/>
      <c r="FX1558" s="8"/>
      <c r="FY1558" s="8"/>
      <c r="FZ1558" s="8"/>
      <c r="GA1558" s="8"/>
      <c r="GB1558" s="8"/>
      <c r="GC1558" s="8"/>
      <c r="GD1558" s="8"/>
      <c r="GE1558" s="8"/>
      <c r="GF1558" s="8"/>
      <c r="GG1558" s="8"/>
      <c r="GH1558" s="8"/>
      <c r="GI1558" s="8"/>
      <c r="GJ1558" s="8"/>
      <c r="GK1558" s="8"/>
      <c r="GL1558" s="8"/>
      <c r="GM1558" s="8"/>
      <c r="GN1558" s="8"/>
      <c r="GO1558" s="8"/>
      <c r="GP1558" s="8"/>
      <c r="GQ1558" s="8"/>
      <c r="GR1558" s="8"/>
      <c r="GS1558" s="8"/>
      <c r="GT1558" s="8"/>
      <c r="GU1558" s="8"/>
      <c r="GV1558" s="8"/>
      <c r="GW1558" s="8"/>
      <c r="GX1558" s="8"/>
      <c r="GY1558" s="8"/>
      <c r="GZ1558" s="8"/>
      <c r="HA1558" s="8"/>
      <c r="HB1558" s="8"/>
      <c r="HC1558" s="8"/>
      <c r="HD1558" s="8"/>
      <c r="HE1558" s="8"/>
      <c r="HF1558" s="8"/>
      <c r="HG1558" s="8"/>
      <c r="HH1558" s="8"/>
      <c r="HI1558" s="8"/>
      <c r="HJ1558" s="8"/>
      <c r="HK1558" s="8"/>
      <c r="HL1558" s="8"/>
      <c r="HM1558" s="8"/>
      <c r="HN1558" s="8"/>
      <c r="HO1558" s="8"/>
      <c r="HP1558" s="8"/>
      <c r="HQ1558" s="8"/>
      <c r="HR1558" s="8"/>
      <c r="HS1558" s="8"/>
      <c r="HT1558" s="8"/>
      <c r="HU1558" s="8"/>
      <c r="HV1558" s="8"/>
      <c r="HW1558" s="8"/>
      <c r="HX1558" s="8"/>
      <c r="HY1558" s="8"/>
      <c r="HZ1558" s="8"/>
      <c r="IA1558" s="8"/>
      <c r="IB1558" s="8"/>
      <c r="IC1558" s="8"/>
      <c r="ID1558" s="8"/>
      <c r="IE1558" s="8"/>
      <c r="IF1558" s="8"/>
    </row>
    <row r="1559" spans="1:240">
      <c r="AO1559" s="8"/>
      <c r="AP1559" s="8"/>
      <c r="AQ1559" s="8"/>
      <c r="AR1559" s="8"/>
      <c r="AS1559" s="8"/>
      <c r="AT1559" s="8"/>
      <c r="AU1559" s="8"/>
      <c r="AV1559" s="8"/>
      <c r="AW1559" s="8"/>
      <c r="AX1559" s="8"/>
      <c r="AY1559" s="8"/>
      <c r="AZ1559" s="8"/>
      <c r="BA1559" s="8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/>
      <c r="BL1559" s="8"/>
      <c r="BM1559" s="8"/>
      <c r="BN1559" s="8"/>
      <c r="BO1559" s="8"/>
      <c r="BP1559" s="8"/>
      <c r="BQ1559" s="8"/>
      <c r="BR1559" s="8"/>
      <c r="BS1559" s="8"/>
      <c r="BT1559" s="8"/>
      <c r="BU1559" s="8"/>
      <c r="BV1559" s="8"/>
      <c r="BW1559" s="8"/>
      <c r="BX1559" s="8"/>
      <c r="BY1559" s="8"/>
      <c r="BZ1559" s="8"/>
      <c r="CA1559" s="8"/>
      <c r="CB1559" s="8"/>
      <c r="CC1559" s="8"/>
      <c r="CD1559" s="8"/>
      <c r="CE1559" s="8"/>
      <c r="CF1559" s="8"/>
      <c r="CG1559" s="8"/>
      <c r="CH1559" s="8"/>
      <c r="CI1559" s="8"/>
      <c r="CJ1559" s="8"/>
      <c r="CK1559" s="8"/>
      <c r="CL1559" s="8"/>
      <c r="CM1559" s="8"/>
      <c r="CN1559" s="8"/>
      <c r="CO1559" s="8"/>
      <c r="CP1559" s="8"/>
      <c r="CQ1559" s="8"/>
      <c r="CR1559" s="8"/>
      <c r="CS1559" s="8"/>
      <c r="CT1559" s="8"/>
      <c r="CU1559" s="8"/>
      <c r="CV1559" s="8"/>
      <c r="CW1559" s="8"/>
      <c r="CX1559" s="8"/>
      <c r="CY1559" s="8"/>
      <c r="CZ1559" s="8"/>
      <c r="DA1559" s="8"/>
      <c r="DB1559" s="8"/>
      <c r="DC1559" s="8"/>
      <c r="DD1559" s="8"/>
      <c r="DE1559" s="8"/>
      <c r="DF1559" s="8"/>
      <c r="DG1559" s="8"/>
      <c r="DH1559" s="8"/>
      <c r="DI1559" s="8"/>
      <c r="DJ1559" s="8"/>
      <c r="DK1559" s="8"/>
      <c r="DL1559" s="8"/>
      <c r="DM1559" s="8"/>
      <c r="DN1559" s="8"/>
      <c r="DO1559" s="8"/>
      <c r="DP1559" s="8"/>
      <c r="DQ1559" s="8"/>
      <c r="DR1559" s="8"/>
      <c r="DS1559" s="8"/>
      <c r="DT1559" s="8"/>
      <c r="DU1559" s="8"/>
      <c r="DV1559" s="8"/>
      <c r="DW1559" s="8"/>
      <c r="DX1559" s="8"/>
      <c r="DY1559" s="8"/>
      <c r="DZ1559" s="8"/>
      <c r="EA1559" s="8"/>
      <c r="EB1559" s="8"/>
      <c r="EC1559" s="8"/>
      <c r="ED1559" s="8"/>
      <c r="EE1559" s="8"/>
      <c r="EF1559" s="8"/>
      <c r="EG1559" s="8"/>
      <c r="EH1559" s="8"/>
      <c r="EI1559" s="8"/>
      <c r="EJ1559" s="8"/>
      <c r="EK1559" s="8"/>
      <c r="EL1559" s="8"/>
      <c r="EM1559" s="8"/>
      <c r="EN1559" s="8"/>
      <c r="EO1559" s="8"/>
      <c r="EP1559" s="8"/>
      <c r="EQ1559" s="8"/>
      <c r="ER1559" s="8"/>
      <c r="ES1559" s="8"/>
      <c r="ET1559" s="8"/>
      <c r="EU1559" s="8"/>
      <c r="EV1559" s="8"/>
      <c r="EW1559" s="8"/>
      <c r="EX1559" s="8"/>
      <c r="EY1559" s="8"/>
      <c r="EZ1559" s="8"/>
      <c r="FA1559" s="8"/>
      <c r="FB1559" s="8"/>
      <c r="FC1559" s="8"/>
      <c r="FD1559" s="8"/>
      <c r="FE1559" s="8"/>
      <c r="FF1559" s="8"/>
      <c r="FG1559" s="8"/>
      <c r="FH1559" s="8"/>
      <c r="FI1559" s="8"/>
      <c r="FJ1559" s="8"/>
      <c r="FK1559" s="8"/>
      <c r="FL1559" s="8"/>
      <c r="FM1559" s="8"/>
      <c r="FN1559" s="8"/>
      <c r="FO1559" s="8"/>
      <c r="FP1559" s="8"/>
      <c r="FQ1559" s="8"/>
      <c r="FR1559" s="8"/>
      <c r="FS1559" s="8"/>
      <c r="FT1559" s="8"/>
      <c r="FU1559" s="8"/>
      <c r="FV1559" s="8"/>
      <c r="FW1559" s="8"/>
      <c r="FX1559" s="8"/>
      <c r="FY1559" s="8"/>
      <c r="FZ1559" s="8"/>
      <c r="GA1559" s="8"/>
      <c r="GB1559" s="8"/>
      <c r="GC1559" s="8"/>
      <c r="GD1559" s="8"/>
      <c r="GE1559" s="8"/>
      <c r="GF1559" s="8"/>
      <c r="GG1559" s="8"/>
      <c r="GH1559" s="8"/>
      <c r="GI1559" s="8"/>
      <c r="GJ1559" s="8"/>
      <c r="GK1559" s="8"/>
      <c r="GL1559" s="8"/>
      <c r="GM1559" s="8"/>
      <c r="GN1559" s="8"/>
      <c r="GO1559" s="8"/>
      <c r="GP1559" s="8"/>
      <c r="GQ1559" s="8"/>
      <c r="GR1559" s="8"/>
      <c r="GS1559" s="8"/>
      <c r="GT1559" s="8"/>
      <c r="GU1559" s="8"/>
      <c r="GV1559" s="8"/>
      <c r="GW1559" s="8"/>
      <c r="GX1559" s="8"/>
      <c r="GY1559" s="8"/>
      <c r="GZ1559" s="8"/>
      <c r="HA1559" s="8"/>
      <c r="HB1559" s="8"/>
      <c r="HC1559" s="8"/>
      <c r="HD1559" s="8"/>
      <c r="HE1559" s="8"/>
      <c r="HF1559" s="8"/>
      <c r="HG1559" s="8"/>
      <c r="HH1559" s="8"/>
      <c r="HI1559" s="8"/>
      <c r="HJ1559" s="8"/>
      <c r="HK1559" s="8"/>
      <c r="HL1559" s="8"/>
      <c r="HM1559" s="8"/>
      <c r="HN1559" s="8"/>
      <c r="HO1559" s="8"/>
      <c r="HP1559" s="8"/>
      <c r="HQ1559" s="8"/>
      <c r="HR1559" s="8"/>
      <c r="HS1559" s="8"/>
      <c r="HT1559" s="8"/>
      <c r="HU1559" s="8"/>
      <c r="HV1559" s="8"/>
      <c r="HW1559" s="8"/>
      <c r="HX1559" s="8"/>
      <c r="HY1559" s="8"/>
      <c r="HZ1559" s="8"/>
      <c r="IA1559" s="8"/>
      <c r="IB1559" s="8"/>
      <c r="IC1559" s="8"/>
      <c r="ID1559" s="8"/>
      <c r="IE1559" s="8"/>
      <c r="IF1559" s="8"/>
    </row>
  </sheetData>
  <sheetProtection selectLockedCells="1"/>
  <mergeCells count="5">
    <mergeCell ref="B1:H1"/>
    <mergeCell ref="AH1:AN1"/>
    <mergeCell ref="I1:P1"/>
    <mergeCell ref="Q1:X1"/>
    <mergeCell ref="Y1:AG1"/>
  </mergeCells>
  <dataValidations count="2">
    <dataValidation allowBlank="1" showInputMessage="1" sqref="Y1329:Z1048576 M356 L55:L275 M413:M416 Z408:Z412 F1329:I1048576 J55:J158 Z495:Z506 G993:G1327 L278:L356 Y1118:Z1327 K55:K412 J160:J356 Y2:Y828 H55:H865 Z508:Z847 F1294:F1327 F55:G748 Z2:Z404 F2:I54 I356:I1327 Y848:Z1116 H867:H1327 F749:F1291 G749:G991 AA1117"/>
    <dataValidation type="list" allowBlank="1" showInputMessage="1" sqref="I55:I355 E626:E747 D3:E54 E413:E624 E749:E1327 D413:D1327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2016-01-05T09:34:53Z</dcterms:modified>
</cp:coreProperties>
</file>